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tables/table25.xml" ContentType="application/vnd.openxmlformats-officedocument.spreadsheetml.table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z/Desktop/all the papers/anomaly paper/xcel spreadsheets/"/>
    </mc:Choice>
  </mc:AlternateContent>
  <xr:revisionPtr revIDLastSave="0" documentId="13_ncr:1_{3F35DCF7-044E-DE4E-86B6-F56C54EBFC00}" xr6:coauthVersionLast="46" xr6:coauthVersionMax="46" xr10:uidLastSave="{00000000-0000-0000-0000-000000000000}"/>
  <bookViews>
    <workbookView xWindow="3800" yWindow="2740" windowWidth="36940" windowHeight="18120" tabRatio="1000" firstSheet="13" activeTab="24" xr2:uid="{00000000-000D-0000-FFFF-FFFF00000000}"/>
  </bookViews>
  <sheets>
    <sheet name="1994 (11)" sheetId="19" r:id="rId1"/>
    <sheet name="govt budget temp" sheetId="1" r:id="rId2"/>
    <sheet name="1994" sheetId="4" r:id="rId3"/>
    <sheet name="1995" sheetId="10" r:id="rId4"/>
    <sheet name="1996" sheetId="26" r:id="rId5"/>
    <sheet name="1997" sheetId="24" r:id="rId6"/>
    <sheet name="1998" sheetId="25" r:id="rId7"/>
    <sheet name="1999" sheetId="20" r:id="rId8"/>
    <sheet name="2000" sheetId="23" r:id="rId9"/>
    <sheet name="2001" sheetId="22" r:id="rId10"/>
    <sheet name="2002" sheetId="21" r:id="rId11"/>
    <sheet name="2003" sheetId="11" r:id="rId12"/>
    <sheet name="2004" sheetId="12" r:id="rId13"/>
    <sheet name="2005" sheetId="18" r:id="rId14"/>
    <sheet name="2006" sheetId="17" r:id="rId15"/>
    <sheet name="2007" sheetId="27" r:id="rId16"/>
    <sheet name="2008" sheetId="13" r:id="rId17"/>
    <sheet name="2009" sheetId="15" r:id="rId18"/>
    <sheet name="2010" sheetId="14" r:id="rId19"/>
    <sheet name="2011" sheetId="3" r:id="rId20"/>
    <sheet name="2012" sheetId="31" r:id="rId21"/>
    <sheet name="2013" sheetId="33" r:id="rId22"/>
    <sheet name="2014" sheetId="34" r:id="rId23"/>
    <sheet name="summation" sheetId="28" r:id="rId24"/>
    <sheet name="aid-budget relative score" sheetId="29" r:id="rId25"/>
    <sheet name="aid as % of govt chart" sheetId="30" r:id="rId26"/>
    <sheet name="aid-budget absolute score" sheetId="32" r:id="rId27"/>
  </sheets>
  <externalReferences>
    <externalReference r:id="rId2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13" i="32" l="1"/>
  <c r="Z12" i="32"/>
  <c r="Z14" i="32"/>
  <c r="Z15" i="32"/>
  <c r="Z16" i="32"/>
  <c r="Z18" i="32"/>
  <c r="Z19" i="32"/>
  <c r="Z20" i="32"/>
  <c r="Z21" i="32"/>
  <c r="Z23" i="32"/>
  <c r="Z22" i="32"/>
  <c r="Z26" i="32"/>
  <c r="Z27" i="32"/>
  <c r="Z25" i="32"/>
  <c r="Z17" i="32"/>
  <c r="Z28" i="32"/>
  <c r="Z29" i="32"/>
  <c r="Z31" i="32"/>
  <c r="Z32" i="32"/>
  <c r="Z33" i="32"/>
  <c r="Z34" i="32"/>
  <c r="Z35" i="32"/>
  <c r="Z36" i="32"/>
  <c r="Z37" i="32"/>
  <c r="Z38" i="32"/>
  <c r="Z30" i="32"/>
  <c r="Z40" i="32"/>
  <c r="Z41" i="32"/>
  <c r="Z42" i="32"/>
  <c r="Z44" i="32"/>
  <c r="Z45" i="32"/>
  <c r="Z46" i="32"/>
  <c r="Z49" i="32"/>
  <c r="Z48" i="32"/>
  <c r="Z50" i="32"/>
  <c r="Z51" i="32"/>
  <c r="Z53" i="32"/>
  <c r="Z52" i="32"/>
  <c r="Z55" i="32"/>
  <c r="Z56" i="32"/>
  <c r="Z54" i="32"/>
  <c r="Z58" i="32"/>
  <c r="Z59" i="32"/>
  <c r="Z60" i="32"/>
  <c r="Z61" i="32"/>
  <c r="Z62" i="32"/>
  <c r="Z63" i="32"/>
  <c r="Z64" i="32"/>
  <c r="Z65" i="32"/>
  <c r="Z66" i="32"/>
  <c r="Z68" i="32"/>
  <c r="Z69" i="32"/>
  <c r="Z57" i="32"/>
  <c r="Z70" i="32"/>
  <c r="Z71" i="32"/>
  <c r="Z72" i="32"/>
  <c r="Z74" i="32"/>
  <c r="Z75" i="32"/>
  <c r="Z76" i="32"/>
  <c r="Z77" i="32"/>
  <c r="Z78" i="32"/>
  <c r="Z67" i="32"/>
  <c r="Z79" i="32"/>
  <c r="Z80" i="32"/>
  <c r="Z81" i="32"/>
  <c r="Z82" i="32"/>
  <c r="Z83" i="32"/>
  <c r="Z39" i="32"/>
  <c r="Z43" i="32"/>
  <c r="Z24" i="32"/>
  <c r="Z47" i="32"/>
  <c r="Z73" i="32"/>
  <c r="Z10" i="32"/>
  <c r="Z11" i="32"/>
  <c r="G10" i="33"/>
  <c r="AA11" i="34"/>
  <c r="AA12" i="34"/>
  <c r="AA13" i="34"/>
  <c r="AA14" i="34"/>
  <c r="AA15" i="34"/>
  <c r="AA16" i="34"/>
  <c r="AA17" i="34"/>
  <c r="AA18" i="34"/>
  <c r="AA19" i="34"/>
  <c r="AA20" i="34"/>
  <c r="AA21" i="34"/>
  <c r="AA22" i="34"/>
  <c r="AA23" i="34"/>
  <c r="AA24" i="34"/>
  <c r="AA10" i="34"/>
  <c r="G13" i="33"/>
  <c r="G15" i="33"/>
  <c r="G18" i="33"/>
  <c r="G17" i="33"/>
  <c r="G21" i="33"/>
  <c r="G14" i="33"/>
  <c r="G16" i="33"/>
  <c r="G20" i="33"/>
  <c r="G19" i="33"/>
  <c r="G23" i="33"/>
  <c r="G24" i="33"/>
  <c r="G12" i="33"/>
  <c r="G11" i="33"/>
  <c r="G22" i="33"/>
  <c r="Y11" i="33"/>
  <c r="Y12" i="33"/>
  <c r="Y13" i="33"/>
  <c r="Y14" i="33"/>
  <c r="Y15" i="33"/>
  <c r="Y16" i="33"/>
  <c r="Y17" i="33"/>
  <c r="Y18" i="33"/>
  <c r="Y19" i="33"/>
  <c r="Y20" i="33"/>
  <c r="Y21" i="33"/>
  <c r="Y22" i="33"/>
  <c r="Y23" i="33"/>
  <c r="Y24" i="33"/>
  <c r="Y10" i="33"/>
  <c r="M10" i="34"/>
  <c r="K10" i="34"/>
  <c r="G10" i="34"/>
  <c r="M12" i="34"/>
  <c r="K12" i="34"/>
  <c r="G12" i="34"/>
  <c r="M20" i="34"/>
  <c r="K20" i="34"/>
  <c r="G20" i="34"/>
  <c r="M13" i="34"/>
  <c r="K13" i="34"/>
  <c r="G13" i="34"/>
  <c r="M24" i="34"/>
  <c r="K24" i="34"/>
  <c r="G24" i="34"/>
  <c r="M14" i="34"/>
  <c r="K14" i="34"/>
  <c r="G14" i="34"/>
  <c r="M22" i="34"/>
  <c r="K22" i="34"/>
  <c r="G22" i="34"/>
  <c r="M11" i="34"/>
  <c r="K11" i="34"/>
  <c r="G11" i="34"/>
  <c r="M23" i="34"/>
  <c r="K23" i="34"/>
  <c r="G23" i="34"/>
  <c r="M15" i="34"/>
  <c r="K15" i="34"/>
  <c r="G15" i="34"/>
  <c r="M21" i="34"/>
  <c r="K21" i="34"/>
  <c r="G21" i="34"/>
  <c r="M19" i="34"/>
  <c r="K19" i="34"/>
  <c r="G19" i="34"/>
  <c r="M17" i="34"/>
  <c r="K17" i="34"/>
  <c r="G17" i="34"/>
  <c r="M18" i="34"/>
  <c r="K18" i="34"/>
  <c r="G18" i="34"/>
  <c r="M16" i="34"/>
  <c r="K16" i="34"/>
  <c r="G16" i="34"/>
  <c r="K22" i="33"/>
  <c r="K11" i="33"/>
  <c r="K12" i="33"/>
  <c r="K24" i="33"/>
  <c r="K23" i="33"/>
  <c r="K19" i="33"/>
  <c r="K20" i="33"/>
  <c r="K16" i="33"/>
  <c r="K14" i="33"/>
  <c r="K10" i="33"/>
  <c r="K21" i="33"/>
  <c r="K17" i="33"/>
  <c r="K18" i="33"/>
  <c r="K15" i="33"/>
  <c r="K13" i="33"/>
  <c r="H10" i="31" l="1"/>
  <c r="I30" i="31"/>
  <c r="I24" i="31"/>
  <c r="I23" i="31"/>
  <c r="I22" i="31"/>
  <c r="I20" i="31"/>
  <c r="I19" i="31"/>
  <c r="I18" i="31"/>
  <c r="I17" i="31"/>
  <c r="I15" i="31"/>
  <c r="I14" i="31"/>
  <c r="I12" i="31"/>
  <c r="I11" i="31"/>
  <c r="H11" i="31"/>
  <c r="H12" i="31"/>
  <c r="H13" i="31"/>
  <c r="H14" i="31"/>
  <c r="H15" i="31"/>
  <c r="H16" i="31"/>
  <c r="H17" i="31"/>
  <c r="H18" i="31"/>
  <c r="H19" i="31"/>
  <c r="H20" i="31"/>
  <c r="H22" i="31"/>
  <c r="H23" i="31"/>
  <c r="H24" i="31"/>
  <c r="H29" i="31"/>
  <c r="H30" i="31" s="1"/>
  <c r="F29" i="31"/>
  <c r="F30" i="31" s="1"/>
  <c r="O24" i="31"/>
  <c r="M24" i="31"/>
  <c r="O23" i="31"/>
  <c r="M23" i="31"/>
  <c r="O22" i="31"/>
  <c r="M22" i="31"/>
  <c r="O21" i="31"/>
  <c r="M21" i="31"/>
  <c r="O20" i="31"/>
  <c r="M20" i="31"/>
  <c r="O19" i="31"/>
  <c r="M19" i="31"/>
  <c r="O18" i="31"/>
  <c r="M18" i="31"/>
  <c r="O17" i="31"/>
  <c r="M17" i="31"/>
  <c r="O16" i="31"/>
  <c r="M16" i="31"/>
  <c r="O15" i="31"/>
  <c r="M15" i="31"/>
  <c r="O14" i="31"/>
  <c r="M14" i="31"/>
  <c r="O13" i="31"/>
  <c r="M13" i="31"/>
  <c r="O12" i="31"/>
  <c r="M12" i="31"/>
  <c r="O11" i="31"/>
  <c r="M11" i="31"/>
  <c r="O10" i="31"/>
  <c r="M10" i="31"/>
  <c r="H28" i="4"/>
  <c r="I28" i="4"/>
  <c r="M28" i="4"/>
  <c r="O28" i="4"/>
  <c r="M26" i="4"/>
  <c r="O26" i="4"/>
  <c r="H11" i="4"/>
  <c r="I31" i="4"/>
  <c r="H31" i="4"/>
  <c r="I13" i="4"/>
  <c r="I15" i="4"/>
  <c r="I16" i="4"/>
  <c r="I17" i="4"/>
  <c r="I18" i="4"/>
  <c r="I19" i="4"/>
  <c r="I20" i="4"/>
  <c r="I21" i="4"/>
  <c r="I22" i="4"/>
  <c r="I23" i="4"/>
  <c r="I24" i="4"/>
  <c r="I14" i="4"/>
  <c r="D29" i="24"/>
  <c r="H11" i="3"/>
  <c r="H30" i="3"/>
  <c r="H11" i="10"/>
  <c r="H30" i="10"/>
  <c r="H11" i="26"/>
  <c r="H30" i="26"/>
  <c r="H11" i="24"/>
  <c r="H30" i="24"/>
  <c r="H12" i="25"/>
  <c r="H30" i="25" s="1"/>
  <c r="H12" i="20"/>
  <c r="H30" i="20"/>
  <c r="H14" i="22"/>
  <c r="H30" i="22" s="1"/>
  <c r="H13" i="21"/>
  <c r="H30" i="21"/>
  <c r="H13" i="11"/>
  <c r="H30" i="11" s="1"/>
  <c r="H12" i="18"/>
  <c r="H30" i="18"/>
  <c r="H11" i="17"/>
  <c r="H30" i="17" s="1"/>
  <c r="H11" i="13"/>
  <c r="H30" i="13"/>
  <c r="H11" i="15"/>
  <c r="H30" i="15" s="1"/>
  <c r="H12" i="14"/>
  <c r="H30" i="14"/>
  <c r="K29" i="25"/>
  <c r="K30" i="25" s="1"/>
  <c r="K29" i="15"/>
  <c r="K30" i="15" s="1"/>
  <c r="K29" i="3"/>
  <c r="I30" i="3"/>
  <c r="I12" i="3"/>
  <c r="I13" i="3"/>
  <c r="I14" i="3"/>
  <c r="I15" i="3"/>
  <c r="I16" i="3"/>
  <c r="I17" i="3"/>
  <c r="I18" i="3"/>
  <c r="I20" i="3"/>
  <c r="I21" i="3"/>
  <c r="I23" i="3"/>
  <c r="I24" i="3"/>
  <c r="I25" i="3"/>
  <c r="I30" i="14"/>
  <c r="I25" i="14"/>
  <c r="I24" i="14"/>
  <c r="I23" i="14"/>
  <c r="I21" i="14"/>
  <c r="I20" i="14"/>
  <c r="I19" i="14"/>
  <c r="I17" i="14"/>
  <c r="I16" i="14"/>
  <c r="I15" i="14"/>
  <c r="I13" i="14"/>
  <c r="I11" i="14"/>
  <c r="I30" i="15"/>
  <c r="I12" i="15"/>
  <c r="I13" i="15"/>
  <c r="I14" i="15"/>
  <c r="I15" i="15"/>
  <c r="I16" i="15"/>
  <c r="I17" i="15"/>
  <c r="I19" i="15"/>
  <c r="I20" i="15"/>
  <c r="I21" i="15"/>
  <c r="I22" i="15"/>
  <c r="I23" i="15"/>
  <c r="I24" i="15"/>
  <c r="I30" i="13"/>
  <c r="I25" i="13"/>
  <c r="I24" i="13"/>
  <c r="I23" i="13"/>
  <c r="I22" i="13"/>
  <c r="I21" i="13"/>
  <c r="I20" i="13"/>
  <c r="I18" i="13"/>
  <c r="I17" i="13"/>
  <c r="I16" i="13"/>
  <c r="I14" i="13"/>
  <c r="I13" i="13"/>
  <c r="H10" i="27"/>
  <c r="I29" i="27" s="1"/>
  <c r="I24" i="27"/>
  <c r="I22" i="27"/>
  <c r="I21" i="27"/>
  <c r="I20" i="27"/>
  <c r="I18" i="27"/>
  <c r="I15" i="27"/>
  <c r="I14" i="27"/>
  <c r="I13" i="27"/>
  <c r="I12" i="27"/>
  <c r="I11" i="27"/>
  <c r="I30" i="17"/>
  <c r="I24" i="17"/>
  <c r="I23" i="17"/>
  <c r="I22" i="17"/>
  <c r="I21" i="17"/>
  <c r="I20" i="17"/>
  <c r="I18" i="17"/>
  <c r="I17" i="17"/>
  <c r="I15" i="17"/>
  <c r="I14" i="17"/>
  <c r="I13" i="17"/>
  <c r="I12" i="17"/>
  <c r="I30" i="18"/>
  <c r="I13" i="18"/>
  <c r="I14" i="18"/>
  <c r="I16" i="18"/>
  <c r="I17" i="18"/>
  <c r="I18" i="18"/>
  <c r="I19" i="18"/>
  <c r="I20" i="18"/>
  <c r="I21" i="18"/>
  <c r="I22" i="18"/>
  <c r="I23" i="18"/>
  <c r="I24" i="18"/>
  <c r="I25" i="18"/>
  <c r="I30" i="12"/>
  <c r="I11" i="12"/>
  <c r="I12" i="12"/>
  <c r="I15" i="12"/>
  <c r="I16" i="12"/>
  <c r="I18" i="12"/>
  <c r="I19" i="12"/>
  <c r="I20" i="12"/>
  <c r="I21" i="12"/>
  <c r="I22" i="12"/>
  <c r="I23" i="12"/>
  <c r="I24" i="12"/>
  <c r="I25" i="12"/>
  <c r="I11" i="11"/>
  <c r="I12" i="11"/>
  <c r="I14" i="11"/>
  <c r="I15" i="11"/>
  <c r="I17" i="11"/>
  <c r="I18" i="11"/>
  <c r="I19" i="11"/>
  <c r="I20" i="11"/>
  <c r="I21" i="11"/>
  <c r="I22" i="11"/>
  <c r="I24" i="11"/>
  <c r="I33" i="11"/>
  <c r="I30" i="21"/>
  <c r="I11" i="21"/>
  <c r="I12" i="21"/>
  <c r="I14" i="21"/>
  <c r="I15" i="21"/>
  <c r="I16" i="21"/>
  <c r="I17" i="21"/>
  <c r="I19" i="21"/>
  <c r="I20" i="21"/>
  <c r="I21" i="21"/>
  <c r="I22" i="21"/>
  <c r="I24" i="21"/>
  <c r="I25" i="21"/>
  <c r="I26" i="21"/>
  <c r="I11" i="22"/>
  <c r="I12" i="22"/>
  <c r="I15" i="22"/>
  <c r="I16" i="22"/>
  <c r="I17" i="22"/>
  <c r="I18" i="22"/>
  <c r="I20" i="22"/>
  <c r="I21" i="22"/>
  <c r="I22" i="22"/>
  <c r="I23" i="22"/>
  <c r="I24" i="22"/>
  <c r="I25" i="22"/>
  <c r="I30" i="23"/>
  <c r="I11" i="23"/>
  <c r="I12" i="23"/>
  <c r="I13" i="23"/>
  <c r="I15" i="23"/>
  <c r="I17" i="23"/>
  <c r="I18" i="23"/>
  <c r="I19" i="23"/>
  <c r="I20" i="23"/>
  <c r="I21" i="23"/>
  <c r="I22" i="23"/>
  <c r="I23" i="23"/>
  <c r="I25" i="23"/>
  <c r="I30" i="20"/>
  <c r="I11" i="20"/>
  <c r="I13" i="20"/>
  <c r="I15" i="20"/>
  <c r="I16" i="20"/>
  <c r="I17" i="20"/>
  <c r="I19" i="20"/>
  <c r="I20" i="20"/>
  <c r="I21" i="20"/>
  <c r="I22" i="20"/>
  <c r="I23" i="20"/>
  <c r="I24" i="20"/>
  <c r="I25" i="20"/>
  <c r="I30" i="25"/>
  <c r="I24" i="25"/>
  <c r="I23" i="25"/>
  <c r="I22" i="25"/>
  <c r="I21" i="25"/>
  <c r="I20" i="25"/>
  <c r="I18" i="25"/>
  <c r="I16" i="25"/>
  <c r="I15" i="25"/>
  <c r="I14" i="25"/>
  <c r="I13" i="25"/>
  <c r="I11" i="25"/>
  <c r="I30" i="24"/>
  <c r="I12" i="24"/>
  <c r="I13" i="24"/>
  <c r="I16" i="24"/>
  <c r="I17" i="24"/>
  <c r="I26" i="24" s="1"/>
  <c r="I20" i="24"/>
  <c r="I21" i="24"/>
  <c r="I22" i="24"/>
  <c r="I23" i="24"/>
  <c r="I24" i="24"/>
  <c r="I25" i="24"/>
  <c r="I30" i="26"/>
  <c r="I12" i="26"/>
  <c r="I13" i="26"/>
  <c r="I15" i="26"/>
  <c r="I16" i="26"/>
  <c r="I26" i="26" s="1"/>
  <c r="I18" i="26"/>
  <c r="I19" i="26"/>
  <c r="I22" i="26"/>
  <c r="I23" i="26"/>
  <c r="I24" i="26"/>
  <c r="I25" i="26"/>
  <c r="I30" i="10"/>
  <c r="I26" i="10"/>
  <c r="H30" i="23"/>
  <c r="H30" i="12"/>
  <c r="N26" i="3"/>
  <c r="N27" i="3"/>
  <c r="N28" i="3"/>
  <c r="N29" i="3"/>
  <c r="N30" i="3"/>
  <c r="N31" i="3"/>
  <c r="N32" i="3"/>
  <c r="N33" i="3"/>
  <c r="P26" i="3"/>
  <c r="P27" i="3"/>
  <c r="P28" i="3"/>
  <c r="P29" i="3"/>
  <c r="P30" i="3"/>
  <c r="P31" i="3"/>
  <c r="P32" i="3"/>
  <c r="P33" i="3"/>
  <c r="M26" i="14"/>
  <c r="M27" i="14"/>
  <c r="M28" i="14"/>
  <c r="M29" i="14"/>
  <c r="M30" i="14"/>
  <c r="M31" i="14"/>
  <c r="M32" i="14"/>
  <c r="M33" i="14"/>
  <c r="O26" i="14"/>
  <c r="O27" i="14"/>
  <c r="O28" i="14"/>
  <c r="O29" i="14"/>
  <c r="O30" i="14"/>
  <c r="O31" i="14"/>
  <c r="O32" i="14"/>
  <c r="O33" i="14"/>
  <c r="N26" i="15"/>
  <c r="N27" i="15"/>
  <c r="N28" i="15"/>
  <c r="N29" i="15"/>
  <c r="N30" i="15"/>
  <c r="N31" i="15"/>
  <c r="N32" i="15"/>
  <c r="N33" i="15"/>
  <c r="P26" i="15"/>
  <c r="P27" i="15"/>
  <c r="P28" i="15"/>
  <c r="P29" i="15"/>
  <c r="P30" i="15"/>
  <c r="P31" i="15"/>
  <c r="P32" i="15"/>
  <c r="P33" i="15"/>
  <c r="M26" i="13"/>
  <c r="M27" i="13"/>
  <c r="M28" i="13"/>
  <c r="M29" i="13"/>
  <c r="M30" i="13"/>
  <c r="M31" i="13"/>
  <c r="M32" i="13"/>
  <c r="M33" i="13"/>
  <c r="O26" i="13"/>
  <c r="O27" i="13"/>
  <c r="O28" i="13"/>
  <c r="O29" i="13"/>
  <c r="O30" i="13"/>
  <c r="O31" i="13"/>
  <c r="O32" i="13"/>
  <c r="O33" i="13"/>
  <c r="M25" i="27"/>
  <c r="M26" i="27"/>
  <c r="M27" i="27"/>
  <c r="M28" i="27"/>
  <c r="M29" i="27"/>
  <c r="M30" i="27"/>
  <c r="M31" i="27"/>
  <c r="M32" i="27"/>
  <c r="M33" i="27"/>
  <c r="O25" i="27"/>
  <c r="O26" i="27"/>
  <c r="O27" i="27"/>
  <c r="O28" i="27"/>
  <c r="O29" i="27"/>
  <c r="O30" i="27"/>
  <c r="O31" i="27"/>
  <c r="O32" i="27"/>
  <c r="O33" i="27"/>
  <c r="M26" i="17"/>
  <c r="M27" i="17"/>
  <c r="M28" i="17"/>
  <c r="M29" i="17"/>
  <c r="M30" i="17"/>
  <c r="M31" i="17"/>
  <c r="M32" i="17"/>
  <c r="M33" i="17"/>
  <c r="O26" i="17"/>
  <c r="O27" i="17"/>
  <c r="O28" i="17"/>
  <c r="O29" i="17"/>
  <c r="O30" i="17"/>
  <c r="O31" i="17"/>
  <c r="O32" i="17"/>
  <c r="O33" i="17"/>
  <c r="M26" i="12"/>
  <c r="M27" i="12"/>
  <c r="M28" i="12"/>
  <c r="M29" i="12"/>
  <c r="M30" i="12"/>
  <c r="M31" i="12"/>
  <c r="M32" i="12"/>
  <c r="M33" i="12"/>
  <c r="O26" i="12"/>
  <c r="O27" i="12"/>
  <c r="O28" i="12"/>
  <c r="O29" i="12"/>
  <c r="O30" i="12"/>
  <c r="O31" i="12"/>
  <c r="O32" i="12"/>
  <c r="O33" i="12"/>
  <c r="M26" i="11"/>
  <c r="M27" i="11"/>
  <c r="M28" i="11"/>
  <c r="M29" i="11"/>
  <c r="M30" i="11"/>
  <c r="M31" i="11"/>
  <c r="M32" i="11"/>
  <c r="M33" i="11"/>
  <c r="O26" i="11"/>
  <c r="O27" i="11"/>
  <c r="O28" i="11"/>
  <c r="O29" i="11"/>
  <c r="O30" i="11"/>
  <c r="O31" i="11"/>
  <c r="O32" i="11"/>
  <c r="O33" i="11"/>
  <c r="M26" i="21"/>
  <c r="M27" i="21"/>
  <c r="M28" i="21"/>
  <c r="M29" i="21"/>
  <c r="M30" i="21"/>
  <c r="M31" i="21"/>
  <c r="M32" i="21"/>
  <c r="M33" i="21"/>
  <c r="O26" i="21"/>
  <c r="O27" i="21"/>
  <c r="O28" i="21"/>
  <c r="O29" i="21"/>
  <c r="O30" i="21"/>
  <c r="O31" i="21"/>
  <c r="O32" i="21"/>
  <c r="O33" i="21"/>
  <c r="M26" i="22"/>
  <c r="M27" i="22"/>
  <c r="M28" i="22"/>
  <c r="M29" i="22"/>
  <c r="M30" i="22"/>
  <c r="M31" i="22"/>
  <c r="M32" i="22"/>
  <c r="M33" i="22"/>
  <c r="O26" i="22"/>
  <c r="O27" i="22"/>
  <c r="O28" i="22"/>
  <c r="O29" i="22"/>
  <c r="O30" i="22"/>
  <c r="O31" i="22"/>
  <c r="O32" i="22"/>
  <c r="O33" i="22"/>
  <c r="H15" i="23"/>
  <c r="H16" i="23"/>
  <c r="H17" i="23"/>
  <c r="H18" i="23"/>
  <c r="H19" i="23"/>
  <c r="H20" i="23"/>
  <c r="H21" i="23"/>
  <c r="H22" i="23"/>
  <c r="H23" i="23"/>
  <c r="H24" i="23"/>
  <c r="H25" i="23"/>
  <c r="M26" i="23"/>
  <c r="M27" i="23"/>
  <c r="M28" i="23"/>
  <c r="M29" i="23"/>
  <c r="M30" i="23"/>
  <c r="M31" i="23"/>
  <c r="M32" i="23"/>
  <c r="M33" i="23"/>
  <c r="O26" i="23"/>
  <c r="O27" i="23"/>
  <c r="O28" i="23"/>
  <c r="O29" i="23"/>
  <c r="O30" i="23"/>
  <c r="O31" i="23"/>
  <c r="O32" i="23"/>
  <c r="O33" i="23"/>
  <c r="M26" i="20"/>
  <c r="M27" i="20"/>
  <c r="M28" i="20"/>
  <c r="M29" i="20"/>
  <c r="M30" i="20"/>
  <c r="M31" i="20"/>
  <c r="M32" i="20"/>
  <c r="M33" i="20"/>
  <c r="O26" i="20"/>
  <c r="O27" i="20"/>
  <c r="O28" i="20"/>
  <c r="O29" i="20"/>
  <c r="O30" i="20"/>
  <c r="O31" i="20"/>
  <c r="O32" i="20"/>
  <c r="O33" i="20"/>
  <c r="O26" i="25"/>
  <c r="O27" i="25"/>
  <c r="O28" i="25"/>
  <c r="O29" i="25"/>
  <c r="O30" i="25"/>
  <c r="O31" i="25"/>
  <c r="O32" i="25"/>
  <c r="O33" i="25"/>
  <c r="Q26" i="25"/>
  <c r="Q27" i="25"/>
  <c r="Q28" i="25"/>
  <c r="Q29" i="25"/>
  <c r="Q30" i="25"/>
  <c r="Q31" i="25"/>
  <c r="Q32" i="25"/>
  <c r="Q33" i="25"/>
  <c r="H12" i="24"/>
  <c r="H13" i="24"/>
  <c r="H15" i="24"/>
  <c r="H16" i="24"/>
  <c r="H17" i="24"/>
  <c r="H19" i="24"/>
  <c r="H20" i="24"/>
  <c r="H21" i="24"/>
  <c r="H22" i="24"/>
  <c r="H23" i="24"/>
  <c r="H24" i="24"/>
  <c r="H25" i="24"/>
  <c r="M26" i="24"/>
  <c r="M27" i="24"/>
  <c r="M28" i="24"/>
  <c r="M29" i="24"/>
  <c r="M30" i="24"/>
  <c r="M31" i="24"/>
  <c r="M32" i="24"/>
  <c r="M33" i="24"/>
  <c r="O26" i="24"/>
  <c r="O27" i="24"/>
  <c r="O28" i="24"/>
  <c r="O29" i="24"/>
  <c r="O30" i="24"/>
  <c r="O31" i="24"/>
  <c r="O32" i="24"/>
  <c r="O33" i="24"/>
  <c r="H12" i="26"/>
  <c r="H13" i="26"/>
  <c r="H14" i="26"/>
  <c r="H15" i="26"/>
  <c r="H16" i="26"/>
  <c r="H18" i="26"/>
  <c r="H19" i="26"/>
  <c r="H21" i="26"/>
  <c r="H22" i="26"/>
  <c r="H23" i="26"/>
  <c r="H24" i="26"/>
  <c r="H25" i="26"/>
  <c r="M26" i="26"/>
  <c r="M27" i="26"/>
  <c r="M28" i="26"/>
  <c r="M29" i="26"/>
  <c r="M30" i="26"/>
  <c r="M31" i="26"/>
  <c r="M32" i="26"/>
  <c r="M33" i="26"/>
  <c r="O26" i="26"/>
  <c r="O27" i="26"/>
  <c r="O28" i="26"/>
  <c r="O29" i="26"/>
  <c r="O30" i="26"/>
  <c r="O31" i="26"/>
  <c r="O32" i="26"/>
  <c r="O33" i="26"/>
  <c r="H12" i="10"/>
  <c r="H13" i="10"/>
  <c r="H14" i="10"/>
  <c r="H15" i="10"/>
  <c r="H17" i="10"/>
  <c r="H18" i="10"/>
  <c r="H20" i="10"/>
  <c r="H21" i="10"/>
  <c r="H22" i="10"/>
  <c r="H23" i="10"/>
  <c r="H24" i="10"/>
  <c r="H25" i="10"/>
  <c r="M26" i="10"/>
  <c r="M27" i="10"/>
  <c r="M28" i="10"/>
  <c r="M29" i="10"/>
  <c r="M30" i="10"/>
  <c r="M31" i="10"/>
  <c r="M32" i="10"/>
  <c r="M33" i="10"/>
  <c r="O26" i="10"/>
  <c r="O27" i="10"/>
  <c r="O28" i="10"/>
  <c r="O29" i="10"/>
  <c r="O30" i="10"/>
  <c r="O31" i="10"/>
  <c r="O32" i="10"/>
  <c r="O33" i="10"/>
  <c r="M27" i="4"/>
  <c r="M29" i="4"/>
  <c r="M30" i="4"/>
  <c r="M31" i="4"/>
  <c r="M32" i="4"/>
  <c r="M33" i="4"/>
  <c r="M34" i="4"/>
  <c r="O27" i="4"/>
  <c r="O29" i="4"/>
  <c r="O30" i="4"/>
  <c r="O31" i="4"/>
  <c r="O32" i="4"/>
  <c r="O33" i="4"/>
  <c r="O34" i="4"/>
  <c r="H13" i="18"/>
  <c r="H14" i="18"/>
  <c r="H15" i="18"/>
  <c r="H16" i="18"/>
  <c r="H17" i="18"/>
  <c r="H18" i="18"/>
  <c r="H19" i="18"/>
  <c r="H20" i="18"/>
  <c r="H21" i="18"/>
  <c r="H22" i="18"/>
  <c r="H23" i="18"/>
  <c r="H24" i="18"/>
  <c r="H25" i="18"/>
  <c r="M26" i="18"/>
  <c r="M27" i="18"/>
  <c r="M28" i="18"/>
  <c r="M29" i="18"/>
  <c r="M30" i="18"/>
  <c r="M31" i="18"/>
  <c r="M32" i="18"/>
  <c r="M33" i="18"/>
  <c r="O26" i="18"/>
  <c r="O27" i="18"/>
  <c r="O28" i="18"/>
  <c r="O29" i="18"/>
  <c r="O30" i="18"/>
  <c r="O31" i="18"/>
  <c r="O32" i="18"/>
  <c r="O33" i="18"/>
  <c r="H11" i="18"/>
  <c r="H11" i="27"/>
  <c r="H12" i="27"/>
  <c r="H13" i="27"/>
  <c r="H14" i="27"/>
  <c r="H15" i="27"/>
  <c r="H18" i="25"/>
  <c r="H12" i="15"/>
  <c r="H13" i="15"/>
  <c r="H14" i="15"/>
  <c r="H15" i="15"/>
  <c r="H16" i="15"/>
  <c r="H17" i="15"/>
  <c r="H18" i="15"/>
  <c r="H19" i="15"/>
  <c r="H20" i="15"/>
  <c r="H21" i="15"/>
  <c r="H22" i="15"/>
  <c r="H23" i="15"/>
  <c r="H24" i="15"/>
  <c r="H25" i="15"/>
  <c r="H11" i="20"/>
  <c r="H13" i="20"/>
  <c r="H14" i="20"/>
  <c r="H15" i="20"/>
  <c r="H16" i="20"/>
  <c r="H17" i="20"/>
  <c r="H18" i="20"/>
  <c r="H19" i="20"/>
  <c r="H20" i="20"/>
  <c r="H21" i="20"/>
  <c r="H22" i="20"/>
  <c r="H23" i="20"/>
  <c r="H24" i="20"/>
  <c r="H25" i="20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11" i="25"/>
  <c r="H13" i="25"/>
  <c r="H14" i="25"/>
  <c r="H15" i="25"/>
  <c r="H16" i="25"/>
  <c r="H17" i="25"/>
  <c r="H20" i="25"/>
  <c r="H21" i="25"/>
  <c r="H22" i="25"/>
  <c r="H23" i="25"/>
  <c r="H24" i="25"/>
  <c r="H25" i="25"/>
  <c r="H12" i="13"/>
  <c r="H13" i="13"/>
  <c r="H14" i="13"/>
  <c r="H15" i="13"/>
  <c r="H16" i="13"/>
  <c r="H17" i="13"/>
  <c r="H18" i="13"/>
  <c r="H20" i="13"/>
  <c r="H21" i="13"/>
  <c r="H22" i="13"/>
  <c r="H23" i="13"/>
  <c r="H24" i="13"/>
  <c r="H25" i="13"/>
  <c r="H12" i="22"/>
  <c r="H11" i="21"/>
  <c r="H12" i="21"/>
  <c r="H14" i="21"/>
  <c r="H15" i="21"/>
  <c r="H16" i="21"/>
  <c r="H17" i="21"/>
  <c r="H18" i="21"/>
  <c r="H19" i="21"/>
  <c r="H20" i="21"/>
  <c r="H21" i="21"/>
  <c r="H22" i="21"/>
  <c r="H23" i="21"/>
  <c r="H24" i="21"/>
  <c r="H25" i="21"/>
  <c r="H11" i="22"/>
  <c r="H13" i="22"/>
  <c r="H15" i="22"/>
  <c r="H16" i="22"/>
  <c r="H17" i="22"/>
  <c r="H18" i="22"/>
  <c r="H19" i="22"/>
  <c r="H20" i="22"/>
  <c r="H21" i="22"/>
  <c r="H22" i="22"/>
  <c r="H23" i="22"/>
  <c r="H24" i="22"/>
  <c r="H25" i="22"/>
  <c r="H11" i="11"/>
  <c r="H12" i="11"/>
  <c r="H14" i="11"/>
  <c r="H15" i="11"/>
  <c r="H16" i="11"/>
  <c r="H17" i="11"/>
  <c r="H18" i="11"/>
  <c r="H19" i="11"/>
  <c r="H20" i="11"/>
  <c r="H21" i="11"/>
  <c r="H22" i="11"/>
  <c r="H23" i="11"/>
  <c r="H24" i="11"/>
  <c r="H11" i="12"/>
  <c r="H12" i="12"/>
  <c r="H15" i="12"/>
  <c r="H16" i="12"/>
  <c r="H17" i="12"/>
  <c r="H18" i="12"/>
  <c r="H19" i="12"/>
  <c r="H20" i="12"/>
  <c r="H21" i="12"/>
  <c r="H22" i="12"/>
  <c r="H23" i="12"/>
  <c r="H24" i="12"/>
  <c r="H25" i="12"/>
  <c r="H12" i="17"/>
  <c r="H13" i="17"/>
  <c r="H14" i="17"/>
  <c r="H15" i="17"/>
  <c r="H17" i="17"/>
  <c r="H18" i="17"/>
  <c r="H19" i="17"/>
  <c r="H20" i="17"/>
  <c r="H21" i="17"/>
  <c r="H22" i="17"/>
  <c r="H23" i="17"/>
  <c r="H24" i="17"/>
  <c r="H25" i="17"/>
  <c r="H18" i="27"/>
  <c r="H19" i="27"/>
  <c r="H20" i="27"/>
  <c r="H21" i="27"/>
  <c r="H22" i="27"/>
  <c r="H23" i="27"/>
  <c r="H24" i="27"/>
  <c r="H13" i="14"/>
  <c r="H11" i="14"/>
  <c r="H15" i="14"/>
  <c r="H16" i="14"/>
  <c r="H17" i="14"/>
  <c r="H18" i="14"/>
  <c r="H19" i="14"/>
  <c r="H20" i="14"/>
  <c r="H21" i="14"/>
  <c r="H22" i="14"/>
  <c r="H23" i="14"/>
  <c r="H24" i="14"/>
  <c r="H25" i="14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11" i="23"/>
  <c r="H12" i="23"/>
  <c r="H13" i="23"/>
  <c r="O24" i="27"/>
  <c r="M24" i="27"/>
  <c r="O23" i="27"/>
  <c r="M23" i="27"/>
  <c r="O22" i="27"/>
  <c r="M22" i="27"/>
  <c r="O21" i="27"/>
  <c r="M21" i="27"/>
  <c r="O20" i="27"/>
  <c r="M20" i="27"/>
  <c r="O19" i="27"/>
  <c r="M19" i="27"/>
  <c r="O18" i="27"/>
  <c r="M18" i="27"/>
  <c r="O17" i="27"/>
  <c r="M17" i="27"/>
  <c r="O16" i="27"/>
  <c r="M16" i="27"/>
  <c r="O15" i="27"/>
  <c r="M15" i="27"/>
  <c r="O14" i="27"/>
  <c r="M14" i="27"/>
  <c r="O13" i="27"/>
  <c r="M13" i="27"/>
  <c r="O12" i="27"/>
  <c r="M12" i="27"/>
  <c r="O11" i="27"/>
  <c r="M11" i="27"/>
  <c r="O10" i="27"/>
  <c r="M10" i="27"/>
  <c r="O25" i="26"/>
  <c r="M25" i="26"/>
  <c r="O24" i="26"/>
  <c r="M24" i="26"/>
  <c r="O23" i="26"/>
  <c r="M23" i="26"/>
  <c r="O22" i="26"/>
  <c r="M22" i="26"/>
  <c r="O21" i="26"/>
  <c r="M21" i="26"/>
  <c r="O20" i="26"/>
  <c r="M20" i="26"/>
  <c r="O19" i="26"/>
  <c r="M19" i="26"/>
  <c r="O18" i="26"/>
  <c r="M18" i="26"/>
  <c r="O17" i="26"/>
  <c r="M17" i="26"/>
  <c r="O16" i="26"/>
  <c r="M16" i="26"/>
  <c r="O15" i="26"/>
  <c r="M15" i="26"/>
  <c r="O14" i="26"/>
  <c r="M14" i="26"/>
  <c r="O13" i="26"/>
  <c r="M13" i="26"/>
  <c r="O12" i="26"/>
  <c r="M12" i="26"/>
  <c r="O11" i="26"/>
  <c r="M11" i="26"/>
  <c r="Q25" i="25"/>
  <c r="O25" i="25"/>
  <c r="Q24" i="25"/>
  <c r="O24" i="25"/>
  <c r="Q23" i="25"/>
  <c r="O23" i="25"/>
  <c r="Q22" i="25"/>
  <c r="O22" i="25"/>
  <c r="Q21" i="25"/>
  <c r="O21" i="25"/>
  <c r="Q20" i="25"/>
  <c r="O20" i="25"/>
  <c r="Q19" i="25"/>
  <c r="O19" i="25"/>
  <c r="Q18" i="25"/>
  <c r="O18" i="25"/>
  <c r="Q17" i="25"/>
  <c r="O17" i="25"/>
  <c r="Q16" i="25"/>
  <c r="O16" i="25"/>
  <c r="Q15" i="25"/>
  <c r="O15" i="25"/>
  <c r="Q14" i="25"/>
  <c r="O14" i="25"/>
  <c r="Q13" i="25"/>
  <c r="O13" i="25"/>
  <c r="Q12" i="25"/>
  <c r="O12" i="25"/>
  <c r="Q11" i="25"/>
  <c r="O11" i="25"/>
  <c r="O25" i="24"/>
  <c r="M25" i="24"/>
  <c r="O24" i="24"/>
  <c r="M24" i="24"/>
  <c r="O23" i="24"/>
  <c r="M23" i="24"/>
  <c r="O22" i="24"/>
  <c r="M22" i="24"/>
  <c r="O21" i="24"/>
  <c r="M21" i="24"/>
  <c r="O20" i="24"/>
  <c r="M20" i="24"/>
  <c r="O19" i="24"/>
  <c r="M19" i="24"/>
  <c r="O18" i="24"/>
  <c r="M18" i="24"/>
  <c r="O17" i="24"/>
  <c r="M17" i="24"/>
  <c r="O16" i="24"/>
  <c r="M16" i="24"/>
  <c r="O15" i="24"/>
  <c r="M15" i="24"/>
  <c r="O14" i="24"/>
  <c r="M14" i="24"/>
  <c r="O13" i="24"/>
  <c r="M13" i="24"/>
  <c r="O12" i="24"/>
  <c r="M12" i="24"/>
  <c r="O11" i="24"/>
  <c r="M11" i="24"/>
  <c r="O25" i="23"/>
  <c r="M25" i="23"/>
  <c r="O24" i="23"/>
  <c r="M24" i="23"/>
  <c r="O23" i="23"/>
  <c r="M23" i="23"/>
  <c r="O22" i="23"/>
  <c r="M22" i="23"/>
  <c r="O21" i="23"/>
  <c r="M21" i="23"/>
  <c r="O20" i="23"/>
  <c r="M20" i="23"/>
  <c r="O19" i="23"/>
  <c r="M19" i="23"/>
  <c r="O18" i="23"/>
  <c r="M18" i="23"/>
  <c r="O17" i="23"/>
  <c r="M17" i="23"/>
  <c r="O16" i="23"/>
  <c r="M16" i="23"/>
  <c r="O15" i="23"/>
  <c r="M15" i="23"/>
  <c r="O14" i="23"/>
  <c r="M14" i="23"/>
  <c r="O13" i="23"/>
  <c r="M13" i="23"/>
  <c r="O12" i="23"/>
  <c r="M12" i="23"/>
  <c r="O11" i="23"/>
  <c r="M11" i="23"/>
  <c r="O25" i="22"/>
  <c r="M25" i="22"/>
  <c r="O24" i="22"/>
  <c r="M24" i="22"/>
  <c r="O23" i="22"/>
  <c r="M23" i="22"/>
  <c r="O22" i="22"/>
  <c r="M22" i="22"/>
  <c r="O21" i="22"/>
  <c r="M21" i="22"/>
  <c r="O20" i="22"/>
  <c r="M20" i="22"/>
  <c r="O19" i="22"/>
  <c r="M19" i="22"/>
  <c r="O18" i="22"/>
  <c r="M18" i="22"/>
  <c r="O17" i="22"/>
  <c r="M17" i="22"/>
  <c r="O16" i="22"/>
  <c r="M16" i="22"/>
  <c r="O15" i="22"/>
  <c r="M15" i="22"/>
  <c r="O14" i="22"/>
  <c r="M14" i="22"/>
  <c r="O13" i="22"/>
  <c r="M13" i="22"/>
  <c r="O12" i="22"/>
  <c r="M12" i="22"/>
  <c r="O11" i="22"/>
  <c r="M11" i="22"/>
  <c r="O25" i="21"/>
  <c r="M25" i="21"/>
  <c r="O24" i="21"/>
  <c r="M24" i="21"/>
  <c r="O23" i="21"/>
  <c r="M23" i="21"/>
  <c r="O22" i="21"/>
  <c r="M22" i="21"/>
  <c r="O21" i="21"/>
  <c r="M21" i="21"/>
  <c r="O20" i="21"/>
  <c r="M20" i="21"/>
  <c r="O19" i="21"/>
  <c r="M19" i="21"/>
  <c r="O18" i="21"/>
  <c r="M18" i="21"/>
  <c r="O17" i="21"/>
  <c r="M17" i="21"/>
  <c r="O16" i="21"/>
  <c r="M16" i="21"/>
  <c r="O15" i="21"/>
  <c r="M15" i="21"/>
  <c r="O14" i="21"/>
  <c r="M14" i="21"/>
  <c r="O13" i="21"/>
  <c r="M13" i="21"/>
  <c r="O12" i="21"/>
  <c r="M12" i="21"/>
  <c r="O11" i="21"/>
  <c r="M11" i="21"/>
  <c r="O25" i="20"/>
  <c r="M25" i="20"/>
  <c r="O24" i="20"/>
  <c r="M24" i="20"/>
  <c r="O23" i="20"/>
  <c r="M23" i="20"/>
  <c r="O22" i="20"/>
  <c r="M22" i="20"/>
  <c r="O21" i="20"/>
  <c r="M21" i="20"/>
  <c r="O20" i="20"/>
  <c r="M20" i="20"/>
  <c r="O19" i="20"/>
  <c r="M19" i="20"/>
  <c r="O18" i="20"/>
  <c r="M18" i="20"/>
  <c r="O17" i="20"/>
  <c r="M17" i="20"/>
  <c r="O16" i="20"/>
  <c r="M16" i="20"/>
  <c r="O15" i="20"/>
  <c r="M15" i="20"/>
  <c r="O14" i="20"/>
  <c r="M14" i="20"/>
  <c r="O13" i="20"/>
  <c r="M13" i="20"/>
  <c r="O12" i="20"/>
  <c r="M12" i="20"/>
  <c r="O11" i="20"/>
  <c r="M11" i="20"/>
  <c r="M26" i="19"/>
  <c r="K26" i="19"/>
  <c r="G26" i="19"/>
  <c r="M25" i="19"/>
  <c r="K25" i="19"/>
  <c r="G25" i="19"/>
  <c r="M24" i="19"/>
  <c r="K24" i="19"/>
  <c r="G24" i="19"/>
  <c r="M23" i="19"/>
  <c r="K23" i="19"/>
  <c r="G23" i="19"/>
  <c r="M22" i="19"/>
  <c r="K22" i="19"/>
  <c r="G22" i="19"/>
  <c r="M21" i="19"/>
  <c r="K21" i="19"/>
  <c r="G21" i="19"/>
  <c r="M20" i="19"/>
  <c r="K20" i="19"/>
  <c r="G20" i="19"/>
  <c r="M19" i="19"/>
  <c r="K19" i="19"/>
  <c r="G19" i="19"/>
  <c r="M18" i="19"/>
  <c r="K18" i="19"/>
  <c r="G18" i="19"/>
  <c r="M17" i="19"/>
  <c r="K17" i="19"/>
  <c r="G17" i="19"/>
  <c r="M16" i="19"/>
  <c r="K16" i="19"/>
  <c r="G16" i="19"/>
  <c r="M15" i="19"/>
  <c r="K15" i="19"/>
  <c r="G15" i="19"/>
  <c r="M14" i="19"/>
  <c r="K14" i="19"/>
  <c r="G14" i="19"/>
  <c r="M13" i="19"/>
  <c r="K13" i="19"/>
  <c r="G13" i="19"/>
  <c r="M12" i="19"/>
  <c r="K12" i="19"/>
  <c r="G12" i="19"/>
  <c r="M11" i="19"/>
  <c r="K11" i="19"/>
  <c r="G11" i="19"/>
  <c r="M25" i="18"/>
  <c r="M24" i="18"/>
  <c r="M23" i="18"/>
  <c r="M22" i="18"/>
  <c r="M21" i="18"/>
  <c r="M20" i="18"/>
  <c r="M19" i="18"/>
  <c r="M18" i="18"/>
  <c r="M17" i="18"/>
  <c r="M16" i="18"/>
  <c r="M15" i="18"/>
  <c r="M14" i="18"/>
  <c r="O13" i="18"/>
  <c r="M13" i="18"/>
  <c r="O12" i="18"/>
  <c r="M12" i="18"/>
  <c r="O11" i="18"/>
  <c r="M11" i="18"/>
  <c r="O25" i="17"/>
  <c r="M25" i="17"/>
  <c r="O24" i="17"/>
  <c r="M24" i="17"/>
  <c r="O23" i="17"/>
  <c r="M23" i="17"/>
  <c r="O22" i="17"/>
  <c r="M22" i="17"/>
  <c r="O21" i="17"/>
  <c r="M21" i="17"/>
  <c r="O20" i="17"/>
  <c r="M20" i="17"/>
  <c r="O19" i="17"/>
  <c r="M19" i="17"/>
  <c r="O18" i="17"/>
  <c r="M18" i="17"/>
  <c r="O17" i="17"/>
  <c r="M17" i="17"/>
  <c r="O16" i="17"/>
  <c r="M16" i="17"/>
  <c r="O15" i="17"/>
  <c r="M15" i="17"/>
  <c r="O14" i="17"/>
  <c r="M14" i="17"/>
  <c r="O13" i="17"/>
  <c r="M13" i="17"/>
  <c r="O12" i="17"/>
  <c r="M12" i="17"/>
  <c r="O11" i="17"/>
  <c r="M11" i="17"/>
  <c r="P25" i="15"/>
  <c r="N25" i="15"/>
  <c r="P24" i="15"/>
  <c r="N24" i="15"/>
  <c r="P23" i="15"/>
  <c r="N23" i="15"/>
  <c r="P22" i="15"/>
  <c r="N22" i="15"/>
  <c r="P21" i="15"/>
  <c r="N21" i="15"/>
  <c r="P20" i="15"/>
  <c r="N20" i="15"/>
  <c r="P19" i="15"/>
  <c r="N19" i="15"/>
  <c r="P18" i="15"/>
  <c r="N18" i="15"/>
  <c r="P17" i="15"/>
  <c r="N17" i="15"/>
  <c r="P16" i="15"/>
  <c r="N16" i="15"/>
  <c r="P15" i="15"/>
  <c r="N15" i="15"/>
  <c r="P14" i="15"/>
  <c r="N14" i="15"/>
  <c r="P13" i="15"/>
  <c r="N13" i="15"/>
  <c r="P12" i="15"/>
  <c r="N12" i="15"/>
  <c r="P11" i="15"/>
  <c r="N11" i="15"/>
  <c r="O25" i="14"/>
  <c r="M25" i="14"/>
  <c r="O24" i="14"/>
  <c r="M24" i="14"/>
  <c r="O23" i="14"/>
  <c r="M23" i="14"/>
  <c r="O22" i="14"/>
  <c r="M22" i="14"/>
  <c r="O21" i="14"/>
  <c r="M21" i="14"/>
  <c r="O20" i="14"/>
  <c r="M20" i="14"/>
  <c r="O19" i="14"/>
  <c r="M19" i="14"/>
  <c r="O18" i="14"/>
  <c r="M18" i="14"/>
  <c r="O17" i="14"/>
  <c r="M17" i="14"/>
  <c r="O16" i="14"/>
  <c r="M16" i="14"/>
  <c r="O15" i="14"/>
  <c r="M15" i="14"/>
  <c r="O14" i="14"/>
  <c r="M14" i="14"/>
  <c r="O13" i="14"/>
  <c r="M13" i="14"/>
  <c r="O12" i="14"/>
  <c r="M12" i="14"/>
  <c r="O11" i="14"/>
  <c r="M11" i="14"/>
  <c r="O25" i="13"/>
  <c r="M25" i="13"/>
  <c r="O24" i="13"/>
  <c r="M24" i="13"/>
  <c r="O23" i="13"/>
  <c r="M23" i="13"/>
  <c r="O22" i="13"/>
  <c r="M22" i="13"/>
  <c r="O21" i="13"/>
  <c r="M21" i="13"/>
  <c r="O20" i="13"/>
  <c r="M20" i="13"/>
  <c r="O19" i="13"/>
  <c r="M19" i="13"/>
  <c r="O18" i="13"/>
  <c r="M18" i="13"/>
  <c r="O17" i="13"/>
  <c r="M17" i="13"/>
  <c r="O16" i="13"/>
  <c r="M16" i="13"/>
  <c r="O15" i="13"/>
  <c r="M15" i="13"/>
  <c r="O14" i="13"/>
  <c r="M14" i="13"/>
  <c r="O13" i="13"/>
  <c r="M13" i="13"/>
  <c r="O12" i="13"/>
  <c r="M12" i="13"/>
  <c r="O11" i="13"/>
  <c r="M11" i="13"/>
  <c r="O25" i="12"/>
  <c r="M25" i="12"/>
  <c r="O24" i="12"/>
  <c r="M24" i="12"/>
  <c r="O23" i="12"/>
  <c r="M23" i="12"/>
  <c r="O22" i="12"/>
  <c r="M22" i="12"/>
  <c r="O21" i="12"/>
  <c r="M21" i="12"/>
  <c r="O20" i="12"/>
  <c r="M20" i="12"/>
  <c r="O19" i="12"/>
  <c r="M19" i="12"/>
  <c r="O18" i="12"/>
  <c r="M18" i="12"/>
  <c r="O17" i="12"/>
  <c r="M17" i="12"/>
  <c r="O16" i="12"/>
  <c r="M16" i="12"/>
  <c r="O15" i="12"/>
  <c r="M15" i="12"/>
  <c r="O14" i="12"/>
  <c r="M14" i="12"/>
  <c r="O13" i="12"/>
  <c r="M13" i="12"/>
  <c r="O12" i="12"/>
  <c r="M12" i="12"/>
  <c r="O11" i="12"/>
  <c r="M11" i="12"/>
  <c r="O25" i="11"/>
  <c r="M25" i="11"/>
  <c r="O24" i="11"/>
  <c r="M24" i="11"/>
  <c r="O23" i="11"/>
  <c r="M23" i="11"/>
  <c r="O22" i="11"/>
  <c r="M22" i="11"/>
  <c r="O21" i="11"/>
  <c r="M21" i="11"/>
  <c r="O20" i="11"/>
  <c r="M20" i="11"/>
  <c r="O19" i="11"/>
  <c r="M19" i="11"/>
  <c r="O18" i="11"/>
  <c r="M18" i="11"/>
  <c r="O17" i="11"/>
  <c r="M17" i="11"/>
  <c r="O16" i="11"/>
  <c r="M16" i="11"/>
  <c r="O15" i="11"/>
  <c r="M15" i="11"/>
  <c r="O14" i="11"/>
  <c r="M14" i="11"/>
  <c r="O13" i="11"/>
  <c r="M13" i="11"/>
  <c r="O12" i="11"/>
  <c r="M12" i="11"/>
  <c r="O11" i="11"/>
  <c r="M11" i="11"/>
  <c r="O25" i="10"/>
  <c r="M25" i="10"/>
  <c r="O24" i="10"/>
  <c r="M24" i="10"/>
  <c r="O23" i="10"/>
  <c r="M23" i="10"/>
  <c r="O22" i="10"/>
  <c r="M22" i="10"/>
  <c r="O21" i="10"/>
  <c r="M21" i="10"/>
  <c r="O20" i="10"/>
  <c r="M20" i="10"/>
  <c r="O19" i="10"/>
  <c r="M19" i="10"/>
  <c r="O18" i="10"/>
  <c r="M18" i="10"/>
  <c r="O17" i="10"/>
  <c r="M17" i="10"/>
  <c r="O16" i="10"/>
  <c r="M16" i="10"/>
  <c r="O15" i="10"/>
  <c r="M15" i="10"/>
  <c r="O14" i="10"/>
  <c r="M14" i="10"/>
  <c r="O13" i="10"/>
  <c r="M13" i="10"/>
  <c r="O12" i="10"/>
  <c r="M12" i="10"/>
  <c r="O11" i="10"/>
  <c r="M11" i="10"/>
  <c r="O25" i="4"/>
  <c r="M25" i="4"/>
  <c r="O24" i="4"/>
  <c r="M24" i="4"/>
  <c r="O23" i="4"/>
  <c r="M23" i="4"/>
  <c r="O22" i="4"/>
  <c r="M22" i="4"/>
  <c r="O21" i="4"/>
  <c r="M21" i="4"/>
  <c r="O20" i="4"/>
  <c r="M20" i="4"/>
  <c r="O19" i="4"/>
  <c r="M19" i="4"/>
  <c r="O18" i="4"/>
  <c r="M18" i="4"/>
  <c r="O17" i="4"/>
  <c r="M17" i="4"/>
  <c r="O16" i="4"/>
  <c r="M16" i="4"/>
  <c r="O15" i="4"/>
  <c r="M15" i="4"/>
  <c r="O14" i="4"/>
  <c r="M14" i="4"/>
  <c r="O13" i="4"/>
  <c r="M13" i="4"/>
  <c r="O12" i="4"/>
  <c r="M12" i="4"/>
  <c r="O11" i="4"/>
  <c r="M11" i="4"/>
  <c r="P25" i="3"/>
  <c r="N25" i="3"/>
  <c r="P24" i="3"/>
  <c r="N24" i="3"/>
  <c r="P23" i="3"/>
  <c r="N23" i="3"/>
  <c r="P22" i="3"/>
  <c r="N22" i="3"/>
  <c r="P21" i="3"/>
  <c r="N21" i="3"/>
  <c r="P20" i="3"/>
  <c r="N20" i="3"/>
  <c r="P19" i="3"/>
  <c r="N19" i="3"/>
  <c r="P18" i="3"/>
  <c r="N18" i="3"/>
  <c r="P17" i="3"/>
  <c r="N17" i="3"/>
  <c r="P16" i="3"/>
  <c r="N16" i="3"/>
  <c r="P15" i="3"/>
  <c r="N15" i="3"/>
  <c r="P14" i="3"/>
  <c r="N14" i="3"/>
  <c r="P13" i="3"/>
  <c r="N13" i="3"/>
  <c r="P12" i="3"/>
  <c r="N12" i="3"/>
  <c r="P11" i="3"/>
  <c r="N11" i="3"/>
  <c r="A1" i="3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10" i="1"/>
  <c r="G11" i="1"/>
  <c r="G25" i="1"/>
  <c r="O25" i="18"/>
  <c r="O24" i="18"/>
  <c r="O23" i="18"/>
  <c r="O22" i="18"/>
  <c r="O21" i="18"/>
  <c r="O20" i="18"/>
  <c r="O19" i="18"/>
  <c r="O18" i="18"/>
  <c r="O17" i="18"/>
  <c r="O16" i="18"/>
  <c r="O15" i="18"/>
  <c r="O14" i="18"/>
  <c r="I26" i="23" l="1"/>
  <c r="H26" i="10"/>
  <c r="I30" i="11"/>
  <c r="I30" i="22"/>
  <c r="L11" i="28" s="1"/>
  <c r="L7" i="28"/>
  <c r="H29" i="27"/>
  <c r="M18" i="33" l="1"/>
  <c r="M19" i="33"/>
  <c r="M11" i="33"/>
  <c r="M20" i="33"/>
  <c r="M22" i="33"/>
  <c r="M23" i="33"/>
  <c r="M17" i="33"/>
  <c r="M12" i="33"/>
  <c r="M15" i="33"/>
  <c r="M16" i="33"/>
  <c r="M24" i="33"/>
  <c r="M14" i="33"/>
  <c r="M13" i="33"/>
  <c r="M10" i="33"/>
  <c r="M21" i="33"/>
</calcChain>
</file>

<file path=xl/sharedStrings.xml><?xml version="1.0" encoding="utf-8"?>
<sst xmlns="http://schemas.openxmlformats.org/spreadsheetml/2006/main" count="1468" uniqueCount="254">
  <si>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</si>
  <si>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</si>
  <si>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</si>
  <si>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</si>
  <si>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</si>
  <si>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</si>
  <si>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</si>
  <si>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</si>
  <si>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</si>
  <si>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</si>
  <si>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yearbook the data is from</t>
  </si>
  <si>
    <t>govt budget</t>
  </si>
  <si>
    <t>aid as a % of govt budget</t>
  </si>
  <si>
    <t>rank of aid as % of govt budget</t>
  </si>
  <si>
    <t>tax income</t>
  </si>
  <si>
    <t>tax income as % of govt budget</t>
  </si>
  <si>
    <t>rank of tax income as % of govt budget</t>
  </si>
  <si>
    <t>aid as % of tax income</t>
  </si>
  <si>
    <t>rank of aid as % of tax income</t>
  </si>
  <si>
    <t>aid</t>
  </si>
  <si>
    <t>Column11</t>
  </si>
  <si>
    <t>rank in aid/capita</t>
  </si>
  <si>
    <t>Column52</t>
  </si>
  <si>
    <t>West Bank and Gaza</t>
  </si>
  <si>
    <t>Cape Verde</t>
  </si>
  <si>
    <t>Kosovo</t>
  </si>
  <si>
    <t>Timor-Leste</t>
  </si>
  <si>
    <t>Seychelles</t>
  </si>
  <si>
    <t>Guyana</t>
  </si>
  <si>
    <t>St Lucia</t>
  </si>
  <si>
    <t>Bhutan</t>
  </si>
  <si>
    <t>Afghanistan</t>
  </si>
  <si>
    <t>Liberia</t>
  </si>
  <si>
    <t>Suriname</t>
  </si>
  <si>
    <t>Antigua &amp; Barbuda</t>
  </si>
  <si>
    <t>Haiti</t>
  </si>
  <si>
    <t>Dijibouti</t>
  </si>
  <si>
    <t>Jordan</t>
  </si>
  <si>
    <t>Israel</t>
  </si>
  <si>
    <t>Netherlands Antillies</t>
  </si>
  <si>
    <t>Gabon</t>
  </si>
  <si>
    <t>Guinea-Bissau</t>
  </si>
  <si>
    <t>Congo</t>
  </si>
  <si>
    <t>Nicaragua</t>
  </si>
  <si>
    <t>Mauratania</t>
  </si>
  <si>
    <t>Cote d'Ivoire</t>
  </si>
  <si>
    <t>Malta</t>
  </si>
  <si>
    <t>Namibia</t>
  </si>
  <si>
    <t>Rwanda</t>
  </si>
  <si>
    <t>Zambia</t>
  </si>
  <si>
    <t>Ex-Yougoslavia</t>
  </si>
  <si>
    <t>Bolivia</t>
  </si>
  <si>
    <t>Bahrain</t>
  </si>
  <si>
    <t>Mongolia</t>
  </si>
  <si>
    <t>Mozambique</t>
  </si>
  <si>
    <t>West Bank and Gaza #</t>
  </si>
  <si>
    <t>Nederlands Antilles</t>
  </si>
  <si>
    <t>Mauritious</t>
  </si>
  <si>
    <t>Bosnia</t>
  </si>
  <si>
    <t>Kuwait</t>
  </si>
  <si>
    <t>Jamaica</t>
  </si>
  <si>
    <t>Albania</t>
  </si>
  <si>
    <t>Papua New Guinea</t>
  </si>
  <si>
    <t>Lebanon</t>
  </si>
  <si>
    <t>Macedonia</t>
  </si>
  <si>
    <t>Honduras</t>
  </si>
  <si>
    <t>Mauritania</t>
  </si>
  <si>
    <t>French Polynesia</t>
  </si>
  <si>
    <t>New Caladonia</t>
  </si>
  <si>
    <t>Aruba</t>
  </si>
  <si>
    <t>Serbia &amp; Montenegro</t>
  </si>
  <si>
    <t>Fr. Polynesia</t>
  </si>
  <si>
    <t>Nederlands Antillies</t>
  </si>
  <si>
    <t>Serbia and Montenegro</t>
  </si>
  <si>
    <t>Eritrea</t>
  </si>
  <si>
    <t>New Caledonia</t>
  </si>
  <si>
    <t>Djoubouti</t>
  </si>
  <si>
    <t>West Bank &amp;   Gaza</t>
  </si>
  <si>
    <t>Netherland Antillies</t>
  </si>
  <si>
    <t>Lithuania</t>
  </si>
  <si>
    <t>Iraq</t>
  </si>
  <si>
    <t>Serbia</t>
  </si>
  <si>
    <t>Barbados</t>
  </si>
  <si>
    <t>Swaziland</t>
  </si>
  <si>
    <t>Congo-Brazzaville</t>
  </si>
  <si>
    <t>West bank and Gaza</t>
  </si>
  <si>
    <t>Montenegro</t>
  </si>
  <si>
    <t>Cameroon</t>
  </si>
  <si>
    <t>Macedionia</t>
  </si>
  <si>
    <t>West Bank &amp; Gaza</t>
  </si>
  <si>
    <t>Armenia</t>
  </si>
  <si>
    <t>Camaroon</t>
  </si>
  <si>
    <t>W. Bank and Gaza</t>
  </si>
  <si>
    <t>Cook Islands</t>
  </si>
  <si>
    <t>Solomon Islands</t>
  </si>
  <si>
    <t>Vanuatu</t>
  </si>
  <si>
    <t>Botswana</t>
  </si>
  <si>
    <t>Anguilla</t>
  </si>
  <si>
    <t>Dominica</t>
  </si>
  <si>
    <t>Grenada</t>
  </si>
  <si>
    <t>Sao Tome and Principe</t>
  </si>
  <si>
    <t>Kiribati</t>
  </si>
  <si>
    <t>Tonga</t>
  </si>
  <si>
    <t>St. Lucia</t>
  </si>
  <si>
    <t>Georgia</t>
  </si>
  <si>
    <t>Timor Leste</t>
  </si>
  <si>
    <t>Djibouti</t>
  </si>
  <si>
    <t>Dominican Republic</t>
  </si>
  <si>
    <t>Maldives</t>
  </si>
  <si>
    <t>aid $m</t>
  </si>
  <si>
    <t xml:space="preserve"> $m</t>
  </si>
  <si>
    <t>govt budget $b</t>
  </si>
  <si>
    <t>2011 (09)</t>
  </si>
  <si>
    <t>2012 (12)</t>
  </si>
  <si>
    <t>2012 (10)</t>
  </si>
  <si>
    <t>2012 (09)</t>
  </si>
  <si>
    <t>2011 (10)</t>
  </si>
  <si>
    <t>aid  $m</t>
  </si>
  <si>
    <t>2008 (06)</t>
  </si>
  <si>
    <t>2008 (05)</t>
  </si>
  <si>
    <t>NA</t>
  </si>
  <si>
    <t>2009 (04)</t>
  </si>
  <si>
    <t>2009 (08)</t>
  </si>
  <si>
    <t>2008 (04)</t>
  </si>
  <si>
    <t>2008 (07)</t>
  </si>
  <si>
    <t>2011 (01)</t>
  </si>
  <si>
    <t>2011 (99)</t>
  </si>
  <si>
    <t>2008 (00)</t>
  </si>
  <si>
    <t>2005 (04)</t>
  </si>
  <si>
    <t>2008 (99)</t>
  </si>
  <si>
    <t>2008 01)</t>
  </si>
  <si>
    <t>2008 (01)</t>
  </si>
  <si>
    <t>2003 (99)</t>
  </si>
  <si>
    <t>2003 (97)</t>
  </si>
  <si>
    <t>2003 (00)</t>
  </si>
  <si>
    <t>2003 (01)</t>
  </si>
  <si>
    <t>2005 (03)</t>
  </si>
  <si>
    <t>(</t>
  </si>
  <si>
    <t>2003 (02)</t>
  </si>
  <si>
    <t>2002 (98)</t>
  </si>
  <si>
    <t>2002 (01)</t>
  </si>
  <si>
    <t>2002 (97)</t>
  </si>
  <si>
    <t>2001 (97)</t>
  </si>
  <si>
    <t>2000 (96)</t>
  </si>
  <si>
    <t>2000 (98)</t>
  </si>
  <si>
    <t>2000 (00)</t>
  </si>
  <si>
    <t>2000 (97)</t>
  </si>
  <si>
    <t>2013 (10)</t>
  </si>
  <si>
    <t>1994 90)</t>
  </si>
  <si>
    <t>1995 (93)</t>
  </si>
  <si>
    <t>1994 (92)</t>
  </si>
  <si>
    <t>1994 (91)</t>
  </si>
  <si>
    <t>1998 (97)</t>
  </si>
  <si>
    <t>1998 (96)</t>
  </si>
  <si>
    <t>1994 (93)</t>
  </si>
  <si>
    <t>1995 (94)</t>
  </si>
  <si>
    <t>1997 (95)</t>
  </si>
  <si>
    <t>1997 (97)</t>
  </si>
  <si>
    <t>1998   (98)</t>
  </si>
  <si>
    <t>1999 (96)</t>
  </si>
  <si>
    <t>1999 (98)</t>
  </si>
  <si>
    <t>1999 (97)</t>
  </si>
  <si>
    <t>P as % of others</t>
  </si>
  <si>
    <t>P as a % of the others</t>
  </si>
  <si>
    <t>P as % of the others</t>
  </si>
  <si>
    <t>Column32</t>
  </si>
  <si>
    <t>drop high/low</t>
  </si>
  <si>
    <t>Column42</t>
  </si>
  <si>
    <t>HDI</t>
  </si>
  <si>
    <t>Average of aid to Palestine as a % of govt budget as a % of aid as a % of govt budget for the cohort over all the years</t>
  </si>
  <si>
    <t>amount by which the smoothed # is greater than the av of all in the cohort</t>
  </si>
  <si>
    <t>Average of the same measure, smoothed by dropping the high and low in the cohort</t>
  </si>
  <si>
    <t>av of all but Palestine</t>
  </si>
  <si>
    <t>average of all but Palestine</t>
  </si>
  <si>
    <t>av af all but Palestine</t>
  </si>
  <si>
    <t>drop the high/low</t>
  </si>
  <si>
    <t>yearbook the data is from (year the data is for)</t>
  </si>
  <si>
    <t>Column102</t>
  </si>
  <si>
    <t>This is the averageof all the values in H30</t>
  </si>
  <si>
    <t>This is the average of all the values in I30</t>
  </si>
  <si>
    <t>number of appearances on the top 15 list</t>
  </si>
  <si>
    <t>cumulative score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</si>
  <si>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</si>
  <si>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</si>
  <si>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</si>
  <si>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</si>
  <si>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</si>
  <si>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</si>
  <si>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</si>
  <si>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</si>
  <si>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</si>
  <si>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</si>
  <si>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</si>
  <si>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</si>
  <si>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 24</t>
  </si>
  <si>
    <t>Column25</t>
  </si>
  <si>
    <t>suriname</t>
  </si>
  <si>
    <t>Anguila</t>
  </si>
  <si>
    <t>Cote d'Iviore</t>
  </si>
  <si>
    <t>ex-Yougoslavia</t>
  </si>
  <si>
    <t>Greneda</t>
  </si>
  <si>
    <t>jamaica</t>
  </si>
  <si>
    <t>Mauritius</t>
  </si>
  <si>
    <t>Papua-New Guinea</t>
  </si>
  <si>
    <t>Sao Tome &amp; Principe</t>
  </si>
  <si>
    <t>Soloman Islands</t>
  </si>
  <si>
    <t>year of occurance and rank of aid as a % of govt budget</t>
  </si>
  <si>
    <t xml:space="preserve">Netherlands Antillies </t>
  </si>
  <si>
    <t>top 15 countries, as well as the average of all countries but Palestine, in the cumulative ranking for aid as a % of govt budget</t>
  </si>
  <si>
    <t xml:space="preserve">average rank of West Bank and Gaza inthis measure (column J):   </t>
  </si>
  <si>
    <t>average of Palestine as a % of the cohort average</t>
  </si>
  <si>
    <t>Material here is the property of its author, Zaccai Lewis, and is not to be copied or disseminated without express permission.</t>
  </si>
  <si>
    <t>Montanegro</t>
  </si>
  <si>
    <t>Bosnia &amp; Hertzgovina</t>
  </si>
  <si>
    <t>South Sudan</t>
  </si>
  <si>
    <t>Lesotho</t>
  </si>
  <si>
    <t>aid, $m</t>
  </si>
  <si>
    <t>govt budget, $b</t>
  </si>
  <si>
    <t>Palestine as a % of the average</t>
  </si>
  <si>
    <t>using "aid as a % of govt budget" number as a score</t>
  </si>
  <si>
    <t>Column26</t>
  </si>
  <si>
    <t>number of appearances on the top 15 aid/capita list</t>
  </si>
  <si>
    <t>W Bank and Gaza</t>
  </si>
  <si>
    <t>Syria</t>
  </si>
  <si>
    <t>Bosnia and H</t>
  </si>
  <si>
    <t>S. Sudan</t>
  </si>
  <si>
    <t>aid/capita</t>
  </si>
  <si>
    <t>total aid</t>
  </si>
  <si>
    <t>population, mil</t>
  </si>
  <si>
    <t>aid, mil</t>
  </si>
  <si>
    <t>govt budget, expenditures, $mil</t>
  </si>
  <si>
    <t>Bosnia &amp; Her</t>
  </si>
  <si>
    <t>S Sudan</t>
  </si>
  <si>
    <t>Moldva</t>
  </si>
  <si>
    <t>Sierra Leone</t>
  </si>
  <si>
    <t>Central African Rep</t>
  </si>
  <si>
    <t>total aid, mil</t>
  </si>
  <si>
    <t>total aid $mil</t>
  </si>
  <si>
    <t>govt budget, expendatures,  $mil</t>
  </si>
  <si>
    <t>W Bank and Gaza*</t>
  </si>
  <si>
    <t>* includes Palestinian Authority expenditures in Gaza, but not other governmental expenditures there.</t>
  </si>
  <si>
    <t>2014 (2012)</t>
  </si>
  <si>
    <t>2015 (2014)</t>
  </si>
  <si>
    <t>* includes PA expenditures in Gaza, but not those of other governmental entities.</t>
  </si>
  <si>
    <t>Column53</t>
  </si>
  <si>
    <t>county</t>
  </si>
  <si>
    <t>2015 (2013)</t>
  </si>
  <si>
    <t>2016 (2013)</t>
  </si>
  <si>
    <t>country</t>
  </si>
  <si>
    <t>Column24</t>
  </si>
  <si>
    <t>syria</t>
  </si>
  <si>
    <t>central African Republic</t>
  </si>
  <si>
    <t>Moldova</t>
  </si>
  <si>
    <t>Central African Republic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</si>
</sst>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B8CCE4"/>
        <bgColor rgb="FFB8CCE4"/>
      </patternFill>
    </fill>
    <fill>
      <patternFill patternType="solid">
        <fgColor rgb="FFDCE6F1"/>
        <bgColor rgb="FFDCE6F1"/>
      </patternFill>
    </fill>
    <fill>
      <patternFill patternType="solid">
        <fgColor theme="4"/>
        <bgColor theme="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wrapText="1"/>
    </xf>
    <xf numFmtId="0" fontId="0" fillId="2" borderId="1" xfId="0" applyFont="1" applyFill="1" applyBorder="1"/>
    <xf numFmtId="0" fontId="0" fillId="3" borderId="1" xfId="0" applyFont="1" applyFill="1" applyBorder="1"/>
    <xf numFmtId="0" fontId="0" fillId="3" borderId="2" xfId="0" applyFont="1" applyFill="1" applyBorder="1"/>
    <xf numFmtId="0" fontId="0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0" fillId="2" borderId="2" xfId="0" applyFont="1" applyFill="1" applyBorder="1"/>
    <xf numFmtId="0" fontId="0" fillId="3" borderId="3" xfId="0" applyFont="1" applyFill="1" applyBorder="1"/>
    <xf numFmtId="0" fontId="0" fillId="3" borderId="2" xfId="0" applyFont="1" applyFill="1" applyBorder="1" applyAlignment="1">
      <alignment wrapText="1"/>
    </xf>
    <xf numFmtId="0" fontId="0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shrinkToFit="1"/>
    </xf>
    <xf numFmtId="0" fontId="0" fillId="2" borderId="2" xfId="0" applyFont="1" applyFill="1" applyBorder="1" applyAlignment="1">
      <alignment shrinkToFit="1"/>
    </xf>
    <xf numFmtId="0" fontId="4" fillId="0" borderId="0" xfId="0" applyFont="1" applyAlignment="1">
      <alignment wrapText="1"/>
    </xf>
    <xf numFmtId="0" fontId="4" fillId="0" borderId="0" xfId="0" applyFont="1"/>
    <xf numFmtId="1" fontId="0" fillId="0" borderId="0" xfId="0" applyNumberFormat="1"/>
    <xf numFmtId="0" fontId="0" fillId="0" borderId="0" xfId="0" applyNumberFormat="1"/>
    <xf numFmtId="0" fontId="0" fillId="0" borderId="0" xfId="0" applyBorder="1"/>
    <xf numFmtId="1" fontId="0" fillId="0" borderId="0" xfId="0" applyNumberFormat="1" applyBorder="1"/>
    <xf numFmtId="0" fontId="0" fillId="0" borderId="0" xfId="0" applyNumberFormat="1" applyBorder="1"/>
    <xf numFmtId="1" fontId="4" fillId="4" borderId="4" xfId="0" applyNumberFormat="1" applyFont="1" applyFill="1" applyBorder="1"/>
    <xf numFmtId="1" fontId="4" fillId="5" borderId="4" xfId="0" applyNumberFormat="1" applyFont="1" applyFill="1" applyBorder="1"/>
    <xf numFmtId="2" fontId="0" fillId="0" borderId="0" xfId="0" applyNumberFormat="1"/>
    <xf numFmtId="164" fontId="0" fillId="0" borderId="0" xfId="0" applyNumberFormat="1"/>
    <xf numFmtId="9" fontId="0" fillId="0" borderId="0" xfId="0" applyNumberFormat="1"/>
    <xf numFmtId="0" fontId="0" fillId="0" borderId="0" xfId="0" applyAlignment="1"/>
    <xf numFmtId="0" fontId="5" fillId="0" borderId="0" xfId="0" applyFont="1"/>
    <xf numFmtId="0" fontId="0" fillId="0" borderId="0" xfId="0" applyAlignment="1">
      <alignment shrinkToFit="1"/>
    </xf>
    <xf numFmtId="0" fontId="0" fillId="0" borderId="0" xfId="0" applyBorder="1" applyAlignment="1">
      <alignment shrinkToFit="1"/>
    </xf>
    <xf numFmtId="0" fontId="0" fillId="3" borderId="5" xfId="0" applyFont="1" applyFill="1" applyBorder="1"/>
    <xf numFmtId="0" fontId="0" fillId="3" borderId="5" xfId="0" applyFont="1" applyFill="1" applyBorder="1" applyAlignment="1">
      <alignment wrapText="1"/>
    </xf>
    <xf numFmtId="16" fontId="0" fillId="0" borderId="0" xfId="0" applyNumberFormat="1"/>
    <xf numFmtId="0" fontId="0" fillId="2" borderId="2" xfId="0" applyFont="1" applyFill="1" applyBorder="1" applyAlignment="1"/>
    <xf numFmtId="0" fontId="6" fillId="6" borderId="6" xfId="0" applyFont="1" applyFill="1" applyBorder="1"/>
    <xf numFmtId="0" fontId="6" fillId="6" borderId="7" xfId="0" applyFont="1" applyFill="1" applyBorder="1"/>
    <xf numFmtId="0" fontId="6" fillId="6" borderId="8" xfId="0" applyFont="1" applyFill="1" applyBorder="1"/>
    <xf numFmtId="0" fontId="0" fillId="3" borderId="2" xfId="0" applyFont="1" applyFill="1" applyBorder="1" applyAlignment="1"/>
    <xf numFmtId="0" fontId="0" fillId="3" borderId="9" xfId="0" applyFont="1" applyFill="1" applyBorder="1"/>
    <xf numFmtId="0" fontId="0" fillId="3" borderId="10" xfId="0" applyFont="1" applyFill="1" applyBorder="1"/>
    <xf numFmtId="0" fontId="0" fillId="0" borderId="0" xfId="0" applyBorder="1" applyAlignment="1">
      <alignment wrapText="1"/>
    </xf>
    <xf numFmtId="1" fontId="0" fillId="0" borderId="0" xfId="0" applyNumberFormat="1" applyAlignment="1">
      <alignment horizontal="left" indent="1"/>
    </xf>
  </cellXfs>
  <cellStyles count="1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Normal" xfId="0" builtinId="0"/>
  </cellStyles>
  <dxfs count="119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/>
        <top style="thick">
          <color theme="0"/>
        </top>
        <bottom/>
      </border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 style="thick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/>
        <right style="thin">
          <color theme="0"/>
        </right>
        <top style="thick">
          <color theme="0"/>
        </top>
        <bottom/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3" defaultTableStyle="TableStyleMedium9" defaultPivotStyle="PivotStyleMedium4">
    <tableStyle name="Table Style 1" pivot="0" count="0" xr9:uid="{86ED9A92-4787-F94B-B224-96717FAC1A7A}"/>
    <tableStyle name="Table Style 2" pivot="0" count="0" xr9:uid="{656F2957-972B-154A-AA3F-C10F00C9F9C6}"/>
    <tableStyle name="Table Style 3" pivot="0" count="0" xr9:uid="{34201F4D-F62D-A04E-83E3-DF3CB137039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557961504811906E-2"/>
          <c:y val="6.0185185185185203E-2"/>
          <c:w val="0.72007786526684203"/>
          <c:h val="0.4963746719160099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'aid as % of govt chart'!$B$16:$B$31</c:f>
              <c:strCache>
                <c:ptCount val="16"/>
                <c:pt idx="0">
                  <c:v>West Bank and Gaza</c:v>
                </c:pt>
                <c:pt idx="1">
                  <c:v>Nicaragua</c:v>
                </c:pt>
                <c:pt idx="2">
                  <c:v>Mongolia</c:v>
                </c:pt>
                <c:pt idx="3">
                  <c:v>Mauratania</c:v>
                </c:pt>
                <c:pt idx="4">
                  <c:v>Afghanistan</c:v>
                </c:pt>
                <c:pt idx="5">
                  <c:v>Jordan</c:v>
                </c:pt>
                <c:pt idx="6">
                  <c:v>suriname</c:v>
                </c:pt>
                <c:pt idx="7">
                  <c:v>Timor-Leste</c:v>
                </c:pt>
                <c:pt idx="8">
                  <c:v>Bosnia</c:v>
                </c:pt>
                <c:pt idx="9">
                  <c:v>French Polynesia</c:v>
                </c:pt>
                <c:pt idx="10">
                  <c:v>Cape Verde</c:v>
                </c:pt>
                <c:pt idx="11">
                  <c:v>Rwanda</c:v>
                </c:pt>
                <c:pt idx="12">
                  <c:v>Bolivia</c:v>
                </c:pt>
                <c:pt idx="13">
                  <c:v>Macedonia</c:v>
                </c:pt>
                <c:pt idx="14">
                  <c:v>Albania</c:v>
                </c:pt>
                <c:pt idx="15">
                  <c:v>average of all but Palestine</c:v>
                </c:pt>
              </c:strCache>
            </c:strRef>
          </c:cat>
          <c:val>
            <c:numRef>
              <c:f>'aid as % of govt chart'!$C$16:$C$31</c:f>
              <c:numCache>
                <c:formatCode>General</c:formatCode>
                <c:ptCount val="16"/>
                <c:pt idx="0">
                  <c:v>237</c:v>
                </c:pt>
                <c:pt idx="1">
                  <c:v>165</c:v>
                </c:pt>
                <c:pt idx="2">
                  <c:v>105</c:v>
                </c:pt>
                <c:pt idx="3">
                  <c:v>96</c:v>
                </c:pt>
                <c:pt idx="4">
                  <c:v>89</c:v>
                </c:pt>
                <c:pt idx="5">
                  <c:v>79</c:v>
                </c:pt>
                <c:pt idx="6">
                  <c:v>75</c:v>
                </c:pt>
                <c:pt idx="7">
                  <c:v>73</c:v>
                </c:pt>
                <c:pt idx="8">
                  <c:v>60</c:v>
                </c:pt>
                <c:pt idx="9">
                  <c:v>60</c:v>
                </c:pt>
                <c:pt idx="10">
                  <c:v>57</c:v>
                </c:pt>
                <c:pt idx="11">
                  <c:v>57</c:v>
                </c:pt>
                <c:pt idx="12">
                  <c:v>55</c:v>
                </c:pt>
                <c:pt idx="13">
                  <c:v>55</c:v>
                </c:pt>
                <c:pt idx="14">
                  <c:v>54</c:v>
                </c:pt>
                <c:pt idx="15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B6-1C45-964F-EF7B8F250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6414664"/>
        <c:axId val="2063076376"/>
      </c:barChart>
      <c:catAx>
        <c:axId val="20664146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3076376"/>
        <c:crosses val="autoZero"/>
        <c:auto val="1"/>
        <c:lblAlgn val="ctr"/>
        <c:lblOffset val="100"/>
        <c:noMultiLvlLbl val="0"/>
      </c:catAx>
      <c:valAx>
        <c:axId val="20630763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664146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numRef>
              <c:f>'aid-budget absolute score'!$AG$10:$AG$25</c:f>
              <c:numCache>
                <c:formatCode>General</c:formatCode>
                <c:ptCount val="16"/>
              </c:numCache>
            </c:numRef>
          </c:cat>
          <c:val>
            <c:numRef>
              <c:f>'aid-budget absolute score'!$AH$10:$AH$25</c:f>
              <c:numCache>
                <c:formatCode>General</c:formatCode>
                <c:ptCount val="16"/>
              </c:numCache>
            </c:numRef>
          </c:val>
          <c:extLst>
            <c:ext xmlns:c16="http://schemas.microsoft.com/office/drawing/2014/chart" uri="{C3380CC4-5D6E-409C-BE32-E72D297353CC}">
              <c16:uniqueId val="{00000000-9680-7445-B29B-445A00D625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6513000"/>
        <c:axId val="2066515944"/>
      </c:barChart>
      <c:catAx>
        <c:axId val="2066513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6515944"/>
        <c:crosses val="autoZero"/>
        <c:auto val="1"/>
        <c:lblAlgn val="ctr"/>
        <c:lblOffset val="100"/>
        <c:noMultiLvlLbl val="0"/>
      </c:catAx>
      <c:valAx>
        <c:axId val="20665159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665130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</xdr:colOff>
      <xdr:row>15</xdr:row>
      <xdr:rowOff>63500</xdr:rowOff>
    </xdr:from>
    <xdr:to>
      <xdr:col>15</xdr:col>
      <xdr:colOff>50800</xdr:colOff>
      <xdr:row>32</xdr:row>
      <xdr:rowOff>177800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304800</xdr:colOff>
      <xdr:row>23</xdr:row>
      <xdr:rowOff>25400</xdr:rowOff>
    </xdr:from>
    <xdr:to>
      <xdr:col>42</xdr:col>
      <xdr:colOff>254000</xdr:colOff>
      <xdr:row>27</xdr:row>
      <xdr:rowOff>50800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a%20from%20Economist%20pocketbo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4"/>
      <sheetName val="1995"/>
      <sheetName val="1996"/>
      <sheetName val="1997"/>
      <sheetName val="1998"/>
      <sheetName val="1999"/>
      <sheetName val="2000"/>
      <sheetName val="2001"/>
      <sheetName val="2002"/>
      <sheetName val="2003"/>
      <sheetName val="2004"/>
      <sheetName val="2005"/>
      <sheetName val="2006"/>
      <sheetName val="2007"/>
      <sheetName val="2008"/>
      <sheetName val="2009"/>
      <sheetName val="2010"/>
      <sheetName val="2011"/>
      <sheetName val="2012"/>
      <sheetName val="2013"/>
      <sheetName val="2014"/>
      <sheetName val="aid capita ranking"/>
      <sheetName val=" aid over GDP rank"/>
      <sheetName val="aidcapita absol"/>
      <sheetName val="aid over GDP absol"/>
      <sheetName val="summation"/>
      <sheetName val="cumulative score charts"/>
      <sheetName val="I-P comparison chart"/>
      <sheetName val="Sheet1 (15)"/>
      <sheetName val="Sheet1 (16)"/>
      <sheetName val="aid-capita reverse"/>
      <sheetName val="aid over GDP reverse"/>
      <sheetName val="Sheet1 (17)"/>
      <sheetName val="Sheet1 (14)"/>
      <sheetName val="Sheet1"/>
      <sheetName val="data from Economist pocketboo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0000000}" name="Table1567891015" displayName="Table1567891015" ref="E10:P26" totalsRowShown="0">
  <autoFilter ref="E10:P26" xr:uid="{00000000-0009-0000-0100-00000E000000}"/>
  <tableColumns count="12">
    <tableColumn id="1" xr3:uid="{00000000-0010-0000-0000-000001000000}" name="Column1"/>
    <tableColumn id="2" xr3:uid="{00000000-0010-0000-0000-000002000000}" name="Column2"/>
    <tableColumn id="3" xr3:uid="{00000000-0010-0000-0000-000003000000}" name="Column3" dataDxfId="118">
      <calculatedColumnFormula>Table1567891015[[#This Row],[Column10]]/Table1567891015[[#This Row],[Column2]]*100</calculatedColumnFormula>
    </tableColumn>
    <tableColumn id="4" xr3:uid="{00000000-0010-0000-0000-000004000000}" name="Column4"/>
    <tableColumn id="5" xr3:uid="{00000000-0010-0000-0000-000005000000}" name="Column5"/>
    <tableColumn id="13" xr3:uid="{00000000-0010-0000-0000-00000D000000}" name="Column52"/>
    <tableColumn id="6" xr3:uid="{00000000-0010-0000-0000-000006000000}" name="Column6" dataDxfId="117">
      <calculatedColumnFormula>Table1567891015[[#This Row],[Column5]]/Table1567891015[[#This Row],[Column2]]*100</calculatedColumnFormula>
    </tableColumn>
    <tableColumn id="7" xr3:uid="{00000000-0010-0000-0000-000007000000}" name="Column7"/>
    <tableColumn id="8" xr3:uid="{00000000-0010-0000-0000-000008000000}" name="Column8" dataDxfId="116">
      <calculatedColumnFormula>Table1567891015[[#This Row],[Column10]]/Table1567891015[[#This Row],[Column5]]*100</calculatedColumnFormula>
    </tableColumn>
    <tableColumn id="9" xr3:uid="{00000000-0010-0000-0000-000009000000}" name="Column9"/>
    <tableColumn id="10" xr3:uid="{00000000-0010-0000-0000-00000A000000}" name="Column10"/>
    <tableColumn id="11" xr3:uid="{00000000-0010-0000-0000-00000B000000}" name="Column1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E9:P25" totalsRowShown="0">
  <autoFilter ref="E9:P25" xr:uid="{00000000-0009-0000-0100-000001000000}"/>
  <tableColumns count="12">
    <tableColumn id="1" xr3:uid="{00000000-0010-0000-0100-000001000000}" name="Column1"/>
    <tableColumn id="2" xr3:uid="{00000000-0010-0000-0100-000002000000}" name="Column2"/>
    <tableColumn id="3" xr3:uid="{00000000-0010-0000-0100-000003000000}" name="Column3" dataDxfId="115">
      <calculatedColumnFormula>Table1[[#This Row],[Column10]]/Table1[[#This Row],[Column2]]*100</calculatedColumnFormula>
    </tableColumn>
    <tableColumn id="4" xr3:uid="{00000000-0010-0000-0100-000004000000}" name="Column4"/>
    <tableColumn id="5" xr3:uid="{00000000-0010-0000-0100-000005000000}" name="Column5"/>
    <tableColumn id="13" xr3:uid="{00000000-0010-0000-0100-00000D000000}" name="Column52"/>
    <tableColumn id="6" xr3:uid="{00000000-0010-0000-0100-000006000000}" name="Column6" dataDxfId="114">
      <calculatedColumnFormula>Table1[[#This Row],[Column5]]/Table1[[#This Row],[Column2]]*100</calculatedColumnFormula>
    </tableColumn>
    <tableColumn id="7" xr3:uid="{00000000-0010-0000-0100-000007000000}" name="Column7"/>
    <tableColumn id="8" xr3:uid="{00000000-0010-0000-0100-000008000000}" name="Column8" dataDxfId="113">
      <calculatedColumnFormula>Table1[[#This Row],[Column10]]/Table1[[#This Row],[Column5]]*100</calculatedColumnFormula>
    </tableColumn>
    <tableColumn id="9" xr3:uid="{00000000-0010-0000-0100-000009000000}" name="Column9"/>
    <tableColumn id="10" xr3:uid="{00000000-0010-0000-0100-00000A000000}" name="Column10"/>
    <tableColumn id="11" xr3:uid="{00000000-0010-0000-0100-00000B000000}" name="Column11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15" displayName="Table15" ref="E10:R34" totalsRowShown="0">
  <autoFilter ref="E10:R34" xr:uid="{00000000-0009-0000-0100-000004000000}"/>
  <sortState xmlns:xlrd2="http://schemas.microsoft.com/office/spreadsheetml/2017/richdata2" ref="E11:R33">
    <sortCondition ref="R10:R33"/>
  </sortState>
  <tableColumns count="14">
    <tableColumn id="1" xr3:uid="{00000000-0010-0000-0200-000001000000}" name="Column1"/>
    <tableColumn id="2" xr3:uid="{00000000-0010-0000-0200-000002000000}" name="Column2"/>
    <tableColumn id="14" xr3:uid="{00000000-0010-0000-0200-00000E000000}" name="Column10"/>
    <tableColumn id="3" xr3:uid="{00000000-0010-0000-0200-000003000000}" name="Column3" dataDxfId="112">
      <calculatedColumnFormula>Table15[[#This Row],[Column102]]/Table15[[#This Row],[Column2]]*0.1</calculatedColumnFormula>
    </tableColumn>
    <tableColumn id="12" xr3:uid="{00000000-0010-0000-0200-00000C000000}" name="Column32" dataDxfId="111">
      <calculatedColumnFormula>Table15[[#This Row],[Column102]]/Table15[[#This Row],[Column2]]*0.1</calculatedColumnFormula>
    </tableColumn>
    <tableColumn id="4" xr3:uid="{00000000-0010-0000-0200-000004000000}" name="Column4"/>
    <tableColumn id="5" xr3:uid="{00000000-0010-0000-0200-000005000000}" name="Column5"/>
    <tableColumn id="13" xr3:uid="{00000000-0010-0000-0200-00000D000000}" name="Column52"/>
    <tableColumn id="6" xr3:uid="{00000000-0010-0000-0200-000006000000}" name="Column6" dataDxfId="110">
      <calculatedColumnFormula>Table15[[#This Row],[Column5]]/Table15[[#This Row],[Column2]]*100</calculatedColumnFormula>
    </tableColumn>
    <tableColumn id="7" xr3:uid="{00000000-0010-0000-0200-000007000000}" name="Column7"/>
    <tableColumn id="8" xr3:uid="{00000000-0010-0000-0200-000008000000}" name="Column8" dataDxfId="109">
      <calculatedColumnFormula>Table15[[#This Row],[Column102]]/Table15[[#This Row],[Column5]]*100</calculatedColumnFormula>
    </tableColumn>
    <tableColumn id="9" xr3:uid="{00000000-0010-0000-0200-000009000000}" name="Column9"/>
    <tableColumn id="10" xr3:uid="{00000000-0010-0000-0200-00000A000000}" name="Column102"/>
    <tableColumn id="11" xr3:uid="{00000000-0010-0000-0200-00000B000000}" name="Column11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e156" displayName="Table156" ref="E10:R33" totalsRowShown="0">
  <autoFilter ref="E10:R33" xr:uid="{00000000-0009-0000-0100-000005000000}"/>
  <sortState xmlns:xlrd2="http://schemas.microsoft.com/office/spreadsheetml/2017/richdata2" ref="E11:R25">
    <sortCondition ref="R10:R25"/>
  </sortState>
  <tableColumns count="14">
    <tableColumn id="1" xr3:uid="{00000000-0010-0000-0300-000001000000}" name="Column1"/>
    <tableColumn id="2" xr3:uid="{00000000-0010-0000-0300-000002000000}" name="Column2"/>
    <tableColumn id="14" xr3:uid="{00000000-0010-0000-0300-00000E000000}" name="Column10"/>
    <tableColumn id="3" xr3:uid="{00000000-0010-0000-0300-000003000000}" name="Column3" dataDxfId="108">
      <calculatedColumnFormula>Table156[[#This Row],[Column102]]/Table156[[#This Row],[Column2]]*0.1</calculatedColumnFormula>
    </tableColumn>
    <tableColumn id="12" xr3:uid="{00000000-0010-0000-0300-00000C000000}" name="Column32" dataDxfId="107"/>
    <tableColumn id="4" xr3:uid="{00000000-0010-0000-0300-000004000000}" name="Column4"/>
    <tableColumn id="5" xr3:uid="{00000000-0010-0000-0300-000005000000}" name="Column5"/>
    <tableColumn id="13" xr3:uid="{00000000-0010-0000-0300-00000D000000}" name="Column52"/>
    <tableColumn id="6" xr3:uid="{00000000-0010-0000-0300-000006000000}" name="Column6" dataDxfId="106">
      <calculatedColumnFormula>Table156[[#This Row],[Column5]]/Table156[[#This Row],[Column2]]*100</calculatedColumnFormula>
    </tableColumn>
    <tableColumn id="7" xr3:uid="{00000000-0010-0000-0300-000007000000}" name="Column7"/>
    <tableColumn id="8" xr3:uid="{00000000-0010-0000-0300-000008000000}" name="Column8" dataDxfId="105">
      <calculatedColumnFormula>Table156[[#This Row],[Column102]]/Table156[[#This Row],[Column5]]*100</calculatedColumnFormula>
    </tableColumn>
    <tableColumn id="9" xr3:uid="{00000000-0010-0000-0300-000009000000}" name="Column9"/>
    <tableColumn id="10" xr3:uid="{00000000-0010-0000-0300-00000A000000}" name="Column102"/>
    <tableColumn id="11" xr3:uid="{00000000-0010-0000-0300-00000B000000}" name="Column11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4000000}" name="Table1567891122" displayName="Table1567891122" ref="E10:R33" totalsRowShown="0">
  <autoFilter ref="E10:R33" xr:uid="{00000000-0009-0000-0100-000015000000}"/>
  <sortState xmlns:xlrd2="http://schemas.microsoft.com/office/spreadsheetml/2017/richdata2" ref="E11:R25">
    <sortCondition ref="R10:R25"/>
  </sortState>
  <tableColumns count="14">
    <tableColumn id="1" xr3:uid="{00000000-0010-0000-0400-000001000000}" name="Column1"/>
    <tableColumn id="2" xr3:uid="{00000000-0010-0000-0400-000002000000}" name="Column2"/>
    <tableColumn id="14" xr3:uid="{00000000-0010-0000-0400-00000E000000}" name="Column10"/>
    <tableColumn id="3" xr3:uid="{00000000-0010-0000-0400-000003000000}" name="Column3" dataDxfId="104">
      <calculatedColumnFormula>Table1567891122[[#This Row],[Column102]]/Table1567891122[[#This Row],[Column2]]*0.1</calculatedColumnFormula>
    </tableColumn>
    <tableColumn id="12" xr3:uid="{00000000-0010-0000-0400-00000C000000}" name="Column32" dataDxfId="103"/>
    <tableColumn id="4" xr3:uid="{00000000-0010-0000-0400-000004000000}" name="Column4"/>
    <tableColumn id="5" xr3:uid="{00000000-0010-0000-0400-000005000000}" name="Column5"/>
    <tableColumn id="13" xr3:uid="{00000000-0010-0000-0400-00000D000000}" name="Column52"/>
    <tableColumn id="6" xr3:uid="{00000000-0010-0000-0400-000006000000}" name="Column6" dataDxfId="102">
      <calculatedColumnFormula>Table1567891122[[#This Row],[Column5]]/Table1567891122[[#This Row],[Column2]]*100</calculatedColumnFormula>
    </tableColumn>
    <tableColumn id="7" xr3:uid="{00000000-0010-0000-0400-000007000000}" name="Column7"/>
    <tableColumn id="8" xr3:uid="{00000000-0010-0000-0400-000008000000}" name="Column8" dataDxfId="101">
      <calculatedColumnFormula>Table1567891122[[#This Row],[Column102]]/Table1567891122[[#This Row],[Column5]]*100</calculatedColumnFormula>
    </tableColumn>
    <tableColumn id="9" xr3:uid="{00000000-0010-0000-0400-000009000000}" name="Column9"/>
    <tableColumn id="10" xr3:uid="{00000000-0010-0000-0400-00000A000000}" name="Column102"/>
    <tableColumn id="11" xr3:uid="{00000000-0010-0000-0400-00000B000000}" name="Column11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5000000}" name="Table1567891020" displayName="Table1567891020" ref="E10:R33" totalsRowShown="0">
  <autoFilter ref="E10:R33" xr:uid="{00000000-0009-0000-0100-000013000000}"/>
  <sortState xmlns:xlrd2="http://schemas.microsoft.com/office/spreadsheetml/2017/richdata2" ref="E11:R25">
    <sortCondition ref="R10:R25"/>
  </sortState>
  <tableColumns count="14">
    <tableColumn id="1" xr3:uid="{00000000-0010-0000-0500-000001000000}" name="Column1"/>
    <tableColumn id="2" xr3:uid="{00000000-0010-0000-0500-000002000000}" name="Column2"/>
    <tableColumn id="14" xr3:uid="{00000000-0010-0000-0500-00000E000000}" name="Column10"/>
    <tableColumn id="3" xr3:uid="{00000000-0010-0000-0500-000003000000}" name="Column3" dataDxfId="100">
      <calculatedColumnFormula>Table1567891020[[#This Row],[Column102]]/Table1567891020[[#This Row],[Column2]]*0.1</calculatedColumnFormula>
    </tableColumn>
    <tableColumn id="12" xr3:uid="{00000000-0010-0000-0500-00000C000000}" name="Column32" dataDxfId="99"/>
    <tableColumn id="4" xr3:uid="{00000000-0010-0000-0500-000004000000}" name="Column4"/>
    <tableColumn id="5" xr3:uid="{00000000-0010-0000-0500-000005000000}" name="Column5"/>
    <tableColumn id="13" xr3:uid="{00000000-0010-0000-0500-00000D000000}" name="Column52"/>
    <tableColumn id="6" xr3:uid="{00000000-0010-0000-0500-000006000000}" name="Column6" dataDxfId="98">
      <calculatedColumnFormula>Table1567891020[[#This Row],[Column5]]/Table1567891020[[#This Row],[Column2]]*100</calculatedColumnFormula>
    </tableColumn>
    <tableColumn id="7" xr3:uid="{00000000-0010-0000-0500-000007000000}" name="Column7"/>
    <tableColumn id="8" xr3:uid="{00000000-0010-0000-0500-000008000000}" name="Column8" dataDxfId="97">
      <calculatedColumnFormula>Table1567891020[[#This Row],[Column102]]/Table1567891020[[#This Row],[Column5]]*100</calculatedColumnFormula>
    </tableColumn>
    <tableColumn id="9" xr3:uid="{00000000-0010-0000-0500-000009000000}" name="Column9"/>
    <tableColumn id="10" xr3:uid="{00000000-0010-0000-0500-00000A000000}" name="Column102"/>
    <tableColumn id="11" xr3:uid="{00000000-0010-0000-0500-00000B000000}" name="Column11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6000000}" name="Table1567891121" displayName="Table1567891121" ref="E10:T33" totalsRowShown="0">
  <autoFilter ref="E10:T33" xr:uid="{00000000-0009-0000-0100-000014000000}"/>
  <sortState xmlns:xlrd2="http://schemas.microsoft.com/office/spreadsheetml/2017/richdata2" ref="E11:T25">
    <sortCondition ref="T10:T25"/>
  </sortState>
  <tableColumns count="16">
    <tableColumn id="1" xr3:uid="{00000000-0010-0000-0600-000001000000}" name="Column1"/>
    <tableColumn id="2" xr3:uid="{00000000-0010-0000-0600-000002000000}" name="Column2"/>
    <tableColumn id="15" xr3:uid="{00000000-0010-0000-0600-00000F000000}" name="Column10"/>
    <tableColumn id="3" xr3:uid="{00000000-0010-0000-0600-000003000000}" name="Column3" dataDxfId="96">
      <calculatedColumnFormula>Table1567891121[[#This Row],[Column102]]/Table1567891121[[#This Row],[Column2]]*0.1</calculatedColumnFormula>
    </tableColumn>
    <tableColumn id="12" xr3:uid="{00000000-0010-0000-0600-00000C000000}" name="Column32" dataDxfId="95"/>
    <tableColumn id="4" xr3:uid="{00000000-0010-0000-0600-000004000000}" name="Column4"/>
    <tableColumn id="14" xr3:uid="{00000000-0010-0000-0600-00000E000000}" name="Column42"/>
    <tableColumn id="5" xr3:uid="{00000000-0010-0000-0600-000005000000}" name="Column5"/>
    <tableColumn id="16" xr3:uid="{9AB32A14-5576-344A-AE47-6BA1796F3435}" name="Column53"/>
    <tableColumn id="13" xr3:uid="{00000000-0010-0000-0600-00000D000000}" name="Column52"/>
    <tableColumn id="6" xr3:uid="{00000000-0010-0000-0600-000006000000}" name="Column6" dataDxfId="94">
      <calculatedColumnFormula>Table1567891121[[#This Row],[Column5]]/Table1567891121[[#This Row],[Column2]]*100</calculatedColumnFormula>
    </tableColumn>
    <tableColumn id="7" xr3:uid="{00000000-0010-0000-0600-000007000000}" name="Column7"/>
    <tableColumn id="8" xr3:uid="{00000000-0010-0000-0600-000008000000}" name="Column8" dataDxfId="93">
      <calculatedColumnFormula>Table1567891121[[#This Row],[Column102]]/Table1567891121[[#This Row],[Column5]]*100</calculatedColumnFormula>
    </tableColumn>
    <tableColumn id="9" xr3:uid="{00000000-0010-0000-0600-000009000000}" name="Column9"/>
    <tableColumn id="10" xr3:uid="{00000000-0010-0000-0600-00000A000000}" name="Column102"/>
    <tableColumn id="11" xr3:uid="{00000000-0010-0000-0600-00000B000000}" name="Column11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7000000}" name="Table1567891016" displayName="Table1567891016" ref="E10:R33" totalsRowShown="0">
  <autoFilter ref="E10:R33" xr:uid="{00000000-0009-0000-0100-00000F000000}"/>
  <sortState xmlns:xlrd2="http://schemas.microsoft.com/office/spreadsheetml/2017/richdata2" ref="E11:R25">
    <sortCondition ref="R10:R25"/>
  </sortState>
  <tableColumns count="14">
    <tableColumn id="1" xr3:uid="{00000000-0010-0000-0700-000001000000}" name="Column1"/>
    <tableColumn id="2" xr3:uid="{00000000-0010-0000-0700-000002000000}" name="Column2"/>
    <tableColumn id="14" xr3:uid="{00000000-0010-0000-0700-00000E000000}" name="Column10"/>
    <tableColumn id="3" xr3:uid="{00000000-0010-0000-0700-000003000000}" name="Column3" dataDxfId="92">
      <calculatedColumnFormula>Table1567891016[[#This Row],[Column102]]/Table1567891016[[#This Row],[Column2]]*0.1</calculatedColumnFormula>
    </tableColumn>
    <tableColumn id="12" xr3:uid="{00000000-0010-0000-0700-00000C000000}" name="Column32" dataDxfId="91">
      <calculatedColumnFormula>Table1567891016[[#This Row],[Column102]]/Table1567891016[[#This Row],[Column2]]*0.1</calculatedColumnFormula>
    </tableColumn>
    <tableColumn id="4" xr3:uid="{00000000-0010-0000-0700-000004000000}" name="Column4"/>
    <tableColumn id="5" xr3:uid="{00000000-0010-0000-0700-000005000000}" name="Column5"/>
    <tableColumn id="13" xr3:uid="{00000000-0010-0000-0700-00000D000000}" name="Column52"/>
    <tableColumn id="6" xr3:uid="{00000000-0010-0000-0700-000006000000}" name="Column6" dataDxfId="90">
      <calculatedColumnFormula>Table1567891016[[#This Row],[Column5]]/Table1567891016[[#This Row],[Column2]]*100</calculatedColumnFormula>
    </tableColumn>
    <tableColumn id="7" xr3:uid="{00000000-0010-0000-0700-000007000000}" name="Column7"/>
    <tableColumn id="8" xr3:uid="{00000000-0010-0000-0700-000008000000}" name="Column8" dataDxfId="89">
      <calculatedColumnFormula>Table1567891016[[#This Row],[Column102]]/Table1567891016[[#This Row],[Column5]]*100</calculatedColumnFormula>
    </tableColumn>
    <tableColumn id="9" xr3:uid="{00000000-0010-0000-0700-000009000000}" name="Column9"/>
    <tableColumn id="10" xr3:uid="{00000000-0010-0000-0700-00000A000000}" name="Column102"/>
    <tableColumn id="11" xr3:uid="{00000000-0010-0000-0700-00000B000000}" name="Column11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8000000}" name="Table1567891019" displayName="Table1567891019" ref="E10:R33" totalsRowShown="0">
  <autoFilter ref="E10:R33" xr:uid="{00000000-0009-0000-0100-000012000000}"/>
  <sortState xmlns:xlrd2="http://schemas.microsoft.com/office/spreadsheetml/2017/richdata2" ref="E11:R25">
    <sortCondition ref="R10:R25"/>
  </sortState>
  <tableColumns count="14">
    <tableColumn id="1" xr3:uid="{00000000-0010-0000-0800-000001000000}" name="Column1"/>
    <tableColumn id="2" xr3:uid="{00000000-0010-0000-0800-000002000000}" name="Column2"/>
    <tableColumn id="14" xr3:uid="{00000000-0010-0000-0800-00000E000000}" name="Column10"/>
    <tableColumn id="3" xr3:uid="{00000000-0010-0000-0800-000003000000}" name="Column3" dataDxfId="88">
      <calculatedColumnFormula>Table1567891019[[#This Row],[Column102]]/Table1567891019[[#This Row],[Column2]]*0.1</calculatedColumnFormula>
    </tableColumn>
    <tableColumn id="12" xr3:uid="{00000000-0010-0000-0800-00000C000000}" name="Column32" dataDxfId="87">
      <calculatedColumnFormula>Table1567891019[[#This Row],[Column102]]/Table1567891019[[#This Row],[Column2]]*0.1</calculatedColumnFormula>
    </tableColumn>
    <tableColumn id="4" xr3:uid="{00000000-0010-0000-0800-000004000000}" name="Column4"/>
    <tableColumn id="5" xr3:uid="{00000000-0010-0000-0800-000005000000}" name="Column5"/>
    <tableColumn id="13" xr3:uid="{00000000-0010-0000-0800-00000D000000}" name="Column52"/>
    <tableColumn id="6" xr3:uid="{00000000-0010-0000-0800-000006000000}" name="Column6" dataDxfId="86">
      <calculatedColumnFormula>Table1567891019[[#This Row],[Column5]]/Table1567891019[[#This Row],[Column2]]*100</calculatedColumnFormula>
    </tableColumn>
    <tableColumn id="7" xr3:uid="{00000000-0010-0000-0800-000007000000}" name="Column7"/>
    <tableColumn id="8" xr3:uid="{00000000-0010-0000-0800-000008000000}" name="Column8" dataDxfId="85">
      <calculatedColumnFormula>Table1567891019[[#This Row],[Column102]]/Table1567891019[[#This Row],[Column5]]*100</calculatedColumnFormula>
    </tableColumn>
    <tableColumn id="9" xr3:uid="{00000000-0010-0000-0800-000009000000}" name="Column9"/>
    <tableColumn id="10" xr3:uid="{00000000-0010-0000-0800-00000A000000}" name="Column102"/>
    <tableColumn id="11" xr3:uid="{00000000-0010-0000-0800-00000B000000}" name="Column11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9000000}" name="Table1567891018" displayName="Table1567891018" ref="E10:R33" totalsRowShown="0">
  <autoFilter ref="E10:R33" xr:uid="{00000000-0009-0000-0100-000011000000}"/>
  <sortState xmlns:xlrd2="http://schemas.microsoft.com/office/spreadsheetml/2017/richdata2" ref="E11:R25">
    <sortCondition ref="R10:R25"/>
  </sortState>
  <tableColumns count="14">
    <tableColumn id="1" xr3:uid="{00000000-0010-0000-0900-000001000000}" name="Column1"/>
    <tableColumn id="2" xr3:uid="{00000000-0010-0000-0900-000002000000}" name="Column2"/>
    <tableColumn id="14" xr3:uid="{00000000-0010-0000-0900-00000E000000}" name="Column10"/>
    <tableColumn id="3" xr3:uid="{00000000-0010-0000-0900-000003000000}" name="Column3" dataDxfId="84">
      <calculatedColumnFormula>Table1567891018[[#This Row],[Column102]]/Table1567891018[[#This Row],[Column2]]*0.1</calculatedColumnFormula>
    </tableColumn>
    <tableColumn id="12" xr3:uid="{00000000-0010-0000-0900-00000C000000}" name="Column32" dataDxfId="83">
      <calculatedColumnFormula>Table1567891018[[#This Row],[Column102]]/Table1567891018[[#This Row],[Column2]]*0.1</calculatedColumnFormula>
    </tableColumn>
    <tableColumn id="4" xr3:uid="{00000000-0010-0000-0900-000004000000}" name="Column4"/>
    <tableColumn id="5" xr3:uid="{00000000-0010-0000-0900-000005000000}" name="Column5"/>
    <tableColumn id="13" xr3:uid="{00000000-0010-0000-0900-00000D000000}" name="Column52"/>
    <tableColumn id="6" xr3:uid="{00000000-0010-0000-0900-000006000000}" name="Column6" dataDxfId="82">
      <calculatedColumnFormula>Table1567891018[[#This Row],[Column5]]/Table1567891018[[#This Row],[Column2]]*100</calculatedColumnFormula>
    </tableColumn>
    <tableColumn id="7" xr3:uid="{00000000-0010-0000-0900-000007000000}" name="Column7"/>
    <tableColumn id="8" xr3:uid="{00000000-0010-0000-0900-000008000000}" name="Column8" dataDxfId="81">
      <calculatedColumnFormula>Table1567891018[[#This Row],[Column102]]/Table1567891018[[#This Row],[Column5]]*100</calculatedColumnFormula>
    </tableColumn>
    <tableColumn id="9" xr3:uid="{00000000-0010-0000-0900-000009000000}" name="Column9"/>
    <tableColumn id="10" xr3:uid="{00000000-0010-0000-0900-00000A000000}" name="Column102"/>
    <tableColumn id="11" xr3:uid="{00000000-0010-0000-0900-00000B000000}" name="Column11"/>
  </tableColumns>
  <tableStyleInfo name="TableStyleMedium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A000000}" name="Table1567891017" displayName="Table1567891017" ref="E10:R33" totalsRowShown="0">
  <autoFilter ref="E10:R33" xr:uid="{00000000-0009-0000-0100-000010000000}"/>
  <sortState xmlns:xlrd2="http://schemas.microsoft.com/office/spreadsheetml/2017/richdata2" ref="E11:R25">
    <sortCondition ref="R10:R25"/>
  </sortState>
  <tableColumns count="14">
    <tableColumn id="1" xr3:uid="{00000000-0010-0000-0A00-000001000000}" name="Column1"/>
    <tableColumn id="2" xr3:uid="{00000000-0010-0000-0A00-000002000000}" name="Column2"/>
    <tableColumn id="14" xr3:uid="{00000000-0010-0000-0A00-00000E000000}" name="Column10" dataDxfId="80"/>
    <tableColumn id="3" xr3:uid="{00000000-0010-0000-0A00-000003000000}" name="Column3" dataDxfId="79">
      <calculatedColumnFormula>Table1567891017[[#This Row],[Column102]]/Table1567891017[[#This Row],[Column2]]*0.1</calculatedColumnFormula>
    </tableColumn>
    <tableColumn id="12" xr3:uid="{00000000-0010-0000-0A00-00000C000000}" name="Column32" dataDxfId="78">
      <calculatedColumnFormula>Table1567891017[[#This Row],[Column102]]/Table1567891017[[#This Row],[Column2]]*0.1</calculatedColumnFormula>
    </tableColumn>
    <tableColumn id="4" xr3:uid="{00000000-0010-0000-0A00-000004000000}" name="Column4"/>
    <tableColumn id="5" xr3:uid="{00000000-0010-0000-0A00-000005000000}" name="Column5"/>
    <tableColumn id="13" xr3:uid="{00000000-0010-0000-0A00-00000D000000}" name="Column52"/>
    <tableColumn id="6" xr3:uid="{00000000-0010-0000-0A00-000006000000}" name="Column6" dataDxfId="77">
      <calculatedColumnFormula>Table1567891017[[#This Row],[Column5]]/Table1567891017[[#This Row],[Column2]]*100</calculatedColumnFormula>
    </tableColumn>
    <tableColumn id="7" xr3:uid="{00000000-0010-0000-0A00-000007000000}" name="Column7"/>
    <tableColumn id="8" xr3:uid="{00000000-0010-0000-0A00-000008000000}" name="Column8" dataDxfId="76">
      <calculatedColumnFormula>Table1567891017[[#This Row],[Column102]]/Table1567891017[[#This Row],[Column5]]*100</calculatedColumnFormula>
    </tableColumn>
    <tableColumn id="9" xr3:uid="{00000000-0010-0000-0A00-000009000000}" name="Column9"/>
    <tableColumn id="10" xr3:uid="{00000000-0010-0000-0A00-00000A000000}" name="Column102" dataDxfId="75"/>
    <tableColumn id="11" xr3:uid="{00000000-0010-0000-0A00-00000B000000}" name="Column11"/>
  </tableColumns>
  <tableStyleInfo name="TableStyleMedium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B000000}" name="Table1567" displayName="Table1567" ref="E10:R33" totalsRowShown="0">
  <autoFilter ref="E10:R33" xr:uid="{00000000-0009-0000-0100-000006000000}"/>
  <sortState xmlns:xlrd2="http://schemas.microsoft.com/office/spreadsheetml/2017/richdata2" ref="E11:R25">
    <sortCondition ref="R10:R25"/>
  </sortState>
  <tableColumns count="14">
    <tableColumn id="1" xr3:uid="{00000000-0010-0000-0B00-000001000000}" name="Column1"/>
    <tableColumn id="2" xr3:uid="{00000000-0010-0000-0B00-000002000000}" name="Column2"/>
    <tableColumn id="14" xr3:uid="{00000000-0010-0000-0B00-00000E000000}" name="Column10"/>
    <tableColumn id="3" xr3:uid="{00000000-0010-0000-0B00-000003000000}" name="Column3" dataDxfId="74">
      <calculatedColumnFormula>Table1567[[#This Row],[Column102]]/Table1567[[#This Row],[Column2]]*0.1</calculatedColumnFormula>
    </tableColumn>
    <tableColumn id="12" xr3:uid="{00000000-0010-0000-0B00-00000C000000}" name="Column32" dataDxfId="73">
      <calculatedColumnFormula>Table1567[[#This Row],[Column102]]/Table1567[[#This Row],[Column2]]*0.1</calculatedColumnFormula>
    </tableColumn>
    <tableColumn id="4" xr3:uid="{00000000-0010-0000-0B00-000004000000}" name="Column4"/>
    <tableColumn id="5" xr3:uid="{00000000-0010-0000-0B00-000005000000}" name="Column5"/>
    <tableColumn id="13" xr3:uid="{00000000-0010-0000-0B00-00000D000000}" name="Column52"/>
    <tableColumn id="6" xr3:uid="{00000000-0010-0000-0B00-000006000000}" name="Column6" dataDxfId="72">
      <calculatedColumnFormula>Table1567[[#This Row],[Column5]]/Table1567[[#This Row],[Column2]]*100</calculatedColumnFormula>
    </tableColumn>
    <tableColumn id="7" xr3:uid="{00000000-0010-0000-0B00-000007000000}" name="Column7"/>
    <tableColumn id="8" xr3:uid="{00000000-0010-0000-0B00-000008000000}" name="Column8" dataDxfId="71">
      <calculatedColumnFormula>Table1567[[#This Row],[Column102]]/Table1567[[#This Row],[Column5]]*100</calculatedColumnFormula>
    </tableColumn>
    <tableColumn id="9" xr3:uid="{00000000-0010-0000-0B00-000009000000}" name="Column9"/>
    <tableColumn id="10" xr3:uid="{00000000-0010-0000-0B00-00000A000000}" name="Column102"/>
    <tableColumn id="11" xr3:uid="{00000000-0010-0000-0B00-00000B000000}" name="Column11"/>
  </tableColumns>
  <tableStyleInfo name="TableStyleMedium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C000000}" name="Table15678" displayName="Table15678" ref="E10:R33" totalsRowShown="0">
  <autoFilter ref="E10:R33" xr:uid="{00000000-0009-0000-0100-000007000000}"/>
  <sortState xmlns:xlrd2="http://schemas.microsoft.com/office/spreadsheetml/2017/richdata2" ref="E11:R25">
    <sortCondition ref="R10:R25"/>
  </sortState>
  <tableColumns count="14">
    <tableColumn id="1" xr3:uid="{00000000-0010-0000-0C00-000001000000}" name="Column1"/>
    <tableColumn id="2" xr3:uid="{00000000-0010-0000-0C00-000002000000}" name="Column2"/>
    <tableColumn id="14" xr3:uid="{00000000-0010-0000-0C00-00000E000000}" name="Column10"/>
    <tableColumn id="3" xr3:uid="{00000000-0010-0000-0C00-000003000000}" name="Column3" dataDxfId="70">
      <calculatedColumnFormula>Table15678[[#This Row],[Column102]]/Table15678[[#This Row],[Column2]]*0.1</calculatedColumnFormula>
    </tableColumn>
    <tableColumn id="12" xr3:uid="{00000000-0010-0000-0C00-00000C000000}" name="Column32" dataDxfId="69">
      <calculatedColumnFormula>Table15678[[#This Row],[Column102]]/Table15678[[#This Row],[Column2]]*0.1</calculatedColumnFormula>
    </tableColumn>
    <tableColumn id="4" xr3:uid="{00000000-0010-0000-0C00-000004000000}" name="Column4"/>
    <tableColumn id="5" xr3:uid="{00000000-0010-0000-0C00-000005000000}" name="Column5"/>
    <tableColumn id="13" xr3:uid="{00000000-0010-0000-0C00-00000D000000}" name="Column52"/>
    <tableColumn id="6" xr3:uid="{00000000-0010-0000-0C00-000006000000}" name="Column6" dataDxfId="68">
      <calculatedColumnFormula>Table15678[[#This Row],[Column5]]/Table15678[[#This Row],[Column2]]*100</calculatedColumnFormula>
    </tableColumn>
    <tableColumn id="7" xr3:uid="{00000000-0010-0000-0C00-000007000000}" name="Column7"/>
    <tableColumn id="8" xr3:uid="{00000000-0010-0000-0C00-000008000000}" name="Column8" dataDxfId="67">
      <calculatedColumnFormula>Table15678[[#This Row],[Column102]]/Table15678[[#This Row],[Column5]]*100</calculatedColumnFormula>
    </tableColumn>
    <tableColumn id="9" xr3:uid="{00000000-0010-0000-0C00-000009000000}" name="Column9"/>
    <tableColumn id="10" xr3:uid="{00000000-0010-0000-0C00-00000A000000}" name="Column102"/>
    <tableColumn id="11" xr3:uid="{00000000-0010-0000-0C00-00000B000000}" name="Column11"/>
  </tableColumns>
  <tableStyleInfo name="TableStyleMedium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D000000}" name="Table1567891014" displayName="Table1567891014" ref="E10:R33" totalsRowShown="0">
  <autoFilter ref="E10:R33" xr:uid="{00000000-0009-0000-0100-00000D000000}"/>
  <sortState xmlns:xlrd2="http://schemas.microsoft.com/office/spreadsheetml/2017/richdata2" ref="E11:R25">
    <sortCondition ref="R10:R25"/>
  </sortState>
  <tableColumns count="14">
    <tableColumn id="1" xr3:uid="{00000000-0010-0000-0D00-000001000000}" name="Column1"/>
    <tableColumn id="2" xr3:uid="{00000000-0010-0000-0D00-000002000000}" name="Column2"/>
    <tableColumn id="14" xr3:uid="{00000000-0010-0000-0D00-00000E000000}" name="Column10"/>
    <tableColumn id="3" xr3:uid="{00000000-0010-0000-0D00-000003000000}" name="Column3" dataDxfId="66">
      <calculatedColumnFormula>Table1567891014[[#This Row],[Column102]]/Table1567891014[[#This Row],[Column2]]*0.1</calculatedColumnFormula>
    </tableColumn>
    <tableColumn id="12" xr3:uid="{00000000-0010-0000-0D00-00000C000000}" name="Column32" dataDxfId="65">
      <calculatedColumnFormula>Table1567891014[[#This Row],[Column102]]/Table1567891014[[#This Row],[Column2]]*0.1</calculatedColumnFormula>
    </tableColumn>
    <tableColumn id="4" xr3:uid="{00000000-0010-0000-0D00-000004000000}" name="Column4"/>
    <tableColumn id="5" xr3:uid="{00000000-0010-0000-0D00-000005000000}" name="Column5"/>
    <tableColumn id="13" xr3:uid="{00000000-0010-0000-0D00-00000D000000}" name="Column52"/>
    <tableColumn id="6" xr3:uid="{00000000-0010-0000-0D00-000006000000}" name="Column6" dataDxfId="64">
      <calculatedColumnFormula>Table1567891014[[#This Row],[Column5]]/Table1567891014[[#This Row],[Column2]]*100</calculatedColumnFormula>
    </tableColumn>
    <tableColumn id="7" xr3:uid="{00000000-0010-0000-0D00-000007000000}" name="Column7"/>
    <tableColumn id="8" xr3:uid="{00000000-0010-0000-0D00-000008000000}" name="Column8" dataDxfId="63">
      <calculatedColumnFormula>Table1567891014[[#This Row],[Column102]]/Table1567891014[[#This Row],[Column5]]*100</calculatedColumnFormula>
    </tableColumn>
    <tableColumn id="9" xr3:uid="{00000000-0010-0000-0D00-000009000000}" name="Column9"/>
    <tableColumn id="10" xr3:uid="{00000000-0010-0000-0D00-00000A000000}" name="Column102"/>
    <tableColumn id="11" xr3:uid="{00000000-0010-0000-0D00-00000B000000}" name="Column11"/>
  </tableColumns>
  <tableStyleInfo name="TableStyleMedium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E000000}" name="Table1567891013" displayName="Table1567891013" ref="E10:R33" totalsRowShown="0">
  <autoFilter ref="E10:R33" xr:uid="{00000000-0009-0000-0100-00000C000000}"/>
  <sortState xmlns:xlrd2="http://schemas.microsoft.com/office/spreadsheetml/2017/richdata2" ref="E11:R25">
    <sortCondition ref="R10:R25"/>
  </sortState>
  <tableColumns count="14">
    <tableColumn id="1" xr3:uid="{00000000-0010-0000-0E00-000001000000}" name="Column1"/>
    <tableColumn id="2" xr3:uid="{00000000-0010-0000-0E00-000002000000}" name="Column2"/>
    <tableColumn id="14" xr3:uid="{00000000-0010-0000-0E00-00000E000000}" name="Column10"/>
    <tableColumn id="3" xr3:uid="{00000000-0010-0000-0E00-000003000000}" name="Column3" dataDxfId="62">
      <calculatedColumnFormula>Table1567891013[[#This Row],[Column102]]/Table1567891013[[#This Row],[Column2]]*0.1</calculatedColumnFormula>
    </tableColumn>
    <tableColumn id="12" xr3:uid="{00000000-0010-0000-0E00-00000C000000}" name="Column32" dataDxfId="61"/>
    <tableColumn id="4" xr3:uid="{00000000-0010-0000-0E00-000004000000}" name="Column4"/>
    <tableColumn id="5" xr3:uid="{00000000-0010-0000-0E00-000005000000}" name="Column5"/>
    <tableColumn id="13" xr3:uid="{00000000-0010-0000-0E00-00000D000000}" name="Column52"/>
    <tableColumn id="6" xr3:uid="{00000000-0010-0000-0E00-000006000000}" name="Column6" dataDxfId="60">
      <calculatedColumnFormula>Table1567891013[[#This Row],[Column5]]/Table1567891013[[#This Row],[Column2]]*100</calculatedColumnFormula>
    </tableColumn>
    <tableColumn id="7" xr3:uid="{00000000-0010-0000-0E00-000007000000}" name="Column7"/>
    <tableColumn id="8" xr3:uid="{00000000-0010-0000-0E00-000008000000}" name="Column8" dataDxfId="59">
      <calculatedColumnFormula>Table1567891013[[#This Row],[Column102]]/Table1567891013[[#This Row],[Column5]]*100</calculatedColumnFormula>
    </tableColumn>
    <tableColumn id="9" xr3:uid="{00000000-0010-0000-0E00-000009000000}" name="Column9"/>
    <tableColumn id="10" xr3:uid="{00000000-0010-0000-0E00-00000A000000}" name="Column102"/>
    <tableColumn id="11" xr3:uid="{00000000-0010-0000-0E00-00000B000000}" name="Column11"/>
  </tableColumns>
  <tableStyleInfo name="TableStyleMedium9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F000000}" name="Table13" displayName="Table13" ref="E9:R33" totalsRowShown="0">
  <autoFilter ref="E9:R33" xr:uid="{00000000-0009-0000-0100-000002000000}"/>
  <sortState xmlns:xlrd2="http://schemas.microsoft.com/office/spreadsheetml/2017/richdata2" ref="E10:R24">
    <sortCondition ref="R9:R24"/>
  </sortState>
  <tableColumns count="14">
    <tableColumn id="1" xr3:uid="{00000000-0010-0000-0F00-000001000000}" name="Column1"/>
    <tableColumn id="2" xr3:uid="{00000000-0010-0000-0F00-000002000000}" name="Column2"/>
    <tableColumn id="14" xr3:uid="{00000000-0010-0000-0F00-00000E000000}" name="Column10"/>
    <tableColumn id="3" xr3:uid="{00000000-0010-0000-0F00-000003000000}" name="Column3" dataDxfId="58">
      <calculatedColumnFormula>Table13[[#This Row],[Column102]]/Table13[[#This Row],[Column2]]*0.1</calculatedColumnFormula>
    </tableColumn>
    <tableColumn id="12" xr3:uid="{00000000-0010-0000-0F00-00000C000000}" name="Column32" dataDxfId="57"/>
    <tableColumn id="4" xr3:uid="{00000000-0010-0000-0F00-000004000000}" name="Column4"/>
    <tableColumn id="5" xr3:uid="{00000000-0010-0000-0F00-000005000000}" name="Column5"/>
    <tableColumn id="13" xr3:uid="{00000000-0010-0000-0F00-00000D000000}" name="Column52"/>
    <tableColumn id="6" xr3:uid="{00000000-0010-0000-0F00-000006000000}" name="Column6" dataDxfId="56">
      <calculatedColumnFormula>Table13[[#This Row],[Column5]]/Table13[[#This Row],[Column2]]*100</calculatedColumnFormula>
    </tableColumn>
    <tableColumn id="7" xr3:uid="{00000000-0010-0000-0F00-000007000000}" name="Column7"/>
    <tableColumn id="8" xr3:uid="{00000000-0010-0000-0F00-000008000000}" name="Column8" dataDxfId="55">
      <calculatedColumnFormula>Table13[[#This Row],[Column102]]/Table13[[#This Row],[Column5]]*100</calculatedColumnFormula>
    </tableColumn>
    <tableColumn id="9" xr3:uid="{00000000-0010-0000-0F00-000009000000}" name="Column9"/>
    <tableColumn id="10" xr3:uid="{00000000-0010-0000-0F00-00000A000000}" name="Column102"/>
    <tableColumn id="11" xr3:uid="{00000000-0010-0000-0F00-00000B000000}" name="Column11"/>
  </tableColumns>
  <tableStyleInfo name="TableStyleMedium9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10000000}" name="Table156789" displayName="Table156789" ref="E10:R33" totalsRowShown="0">
  <autoFilter ref="E10:R33" xr:uid="{00000000-0009-0000-0100-000008000000}"/>
  <sortState xmlns:xlrd2="http://schemas.microsoft.com/office/spreadsheetml/2017/richdata2" ref="E11:R25">
    <sortCondition ref="R10:R25"/>
  </sortState>
  <tableColumns count="14">
    <tableColumn id="1" xr3:uid="{00000000-0010-0000-1000-000001000000}" name="Column1"/>
    <tableColumn id="2" xr3:uid="{00000000-0010-0000-1000-000002000000}" name="Column2"/>
    <tableColumn id="14" xr3:uid="{00000000-0010-0000-1000-00000E000000}" name="Column10"/>
    <tableColumn id="3" xr3:uid="{00000000-0010-0000-1000-000003000000}" name="Column3" dataDxfId="54">
      <calculatedColumnFormula>Table156789[[#This Row],[Column102]]/Table156789[[#This Row],[Column2]]*0.1</calculatedColumnFormula>
    </tableColumn>
    <tableColumn id="12" xr3:uid="{00000000-0010-0000-1000-00000C000000}" name="Column32" dataDxfId="53"/>
    <tableColumn id="4" xr3:uid="{00000000-0010-0000-1000-000004000000}" name="Column4"/>
    <tableColumn id="5" xr3:uid="{00000000-0010-0000-1000-000005000000}" name="Column5"/>
    <tableColumn id="13" xr3:uid="{00000000-0010-0000-1000-00000D000000}" name="Column52"/>
    <tableColumn id="6" xr3:uid="{00000000-0010-0000-1000-000006000000}" name="Column6" dataDxfId="52">
      <calculatedColumnFormula>Table156789[[#This Row],[Column5]]/Table156789[[#This Row],[Column2]]*100</calculatedColumnFormula>
    </tableColumn>
    <tableColumn id="7" xr3:uid="{00000000-0010-0000-1000-000007000000}" name="Column7"/>
    <tableColumn id="8" xr3:uid="{00000000-0010-0000-1000-000008000000}" name="Column8" dataDxfId="51">
      <calculatedColumnFormula>Table156789[[#This Row],[Column102]]/Table156789[[#This Row],[Column5]]*100</calculatedColumnFormula>
    </tableColumn>
    <tableColumn id="9" xr3:uid="{00000000-0010-0000-1000-000009000000}" name="Column9"/>
    <tableColumn id="10" xr3:uid="{00000000-0010-0000-1000-00000A000000}" name="Column102"/>
    <tableColumn id="11" xr3:uid="{00000000-0010-0000-1000-00000B000000}" name="Column11"/>
  </tableColumns>
  <tableStyleInfo name="TableStyleMedium9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1000000}" name="Table15678911" displayName="Table15678911" ref="E10:S33" totalsRowShown="0">
  <autoFilter ref="E10:S33" xr:uid="{00000000-0009-0000-0100-00000A000000}"/>
  <sortState xmlns:xlrd2="http://schemas.microsoft.com/office/spreadsheetml/2017/richdata2" ref="E11:S25">
    <sortCondition ref="S10:S25"/>
  </sortState>
  <tableColumns count="15">
    <tableColumn id="1" xr3:uid="{00000000-0010-0000-1100-000001000000}" name="Column1"/>
    <tableColumn id="2" xr3:uid="{00000000-0010-0000-1100-000002000000}" name="Column2"/>
    <tableColumn id="15" xr3:uid="{00000000-0010-0000-1100-00000F000000}" name="Column10"/>
    <tableColumn id="3" xr3:uid="{00000000-0010-0000-1100-000003000000}" name="Column3" dataDxfId="50">
      <calculatedColumnFormula>Table15678911[[#This Row],[Column102]]/Table15678911[[#This Row],[Column2]]*0.1</calculatedColumnFormula>
    </tableColumn>
    <tableColumn id="12" xr3:uid="{00000000-0010-0000-1100-00000C000000}" name="Column32" dataDxfId="49">
      <calculatedColumnFormula>Table15678911[[#This Row],[Column102]]/Table15678911[[#This Row],[Column2]]*0.1</calculatedColumnFormula>
    </tableColumn>
    <tableColumn id="4" xr3:uid="{00000000-0010-0000-1100-000004000000}" name="Column4"/>
    <tableColumn id="14" xr3:uid="{00000000-0010-0000-1100-00000E000000}" name="Column42"/>
    <tableColumn id="5" xr3:uid="{00000000-0010-0000-1100-000005000000}" name="Column5"/>
    <tableColumn id="13" xr3:uid="{00000000-0010-0000-1100-00000D000000}" name="Column52"/>
    <tableColumn id="6" xr3:uid="{00000000-0010-0000-1100-000006000000}" name="Column6" dataDxfId="48">
      <calculatedColumnFormula>Table15678911[[#This Row],[Column5]]/Table15678911[[#This Row],[Column2]]*100</calculatedColumnFormula>
    </tableColumn>
    <tableColumn id="7" xr3:uid="{00000000-0010-0000-1100-000007000000}" name="Column7"/>
    <tableColumn id="8" xr3:uid="{00000000-0010-0000-1100-000008000000}" name="Column8" dataDxfId="47">
      <calculatedColumnFormula>Table15678911[[#This Row],[Column102]]/Table15678911[[#This Row],[Column5]]*100</calculatedColumnFormula>
    </tableColumn>
    <tableColumn id="9" xr3:uid="{00000000-0010-0000-1100-000009000000}" name="Column9"/>
    <tableColumn id="10" xr3:uid="{00000000-0010-0000-1100-00000A000000}" name="Column102"/>
    <tableColumn id="11" xr3:uid="{00000000-0010-0000-1100-00000B000000}" name="Column11"/>
  </tableColumns>
  <tableStyleInfo name="TableStyleMedium9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12000000}" name="Table15678910" displayName="Table15678910" ref="E10:R33" totalsRowShown="0">
  <autoFilter ref="E10:R33" xr:uid="{00000000-0009-0000-0100-000009000000}"/>
  <sortState xmlns:xlrd2="http://schemas.microsoft.com/office/spreadsheetml/2017/richdata2" ref="E11:R25">
    <sortCondition ref="R10:R25"/>
  </sortState>
  <tableColumns count="14">
    <tableColumn id="1" xr3:uid="{00000000-0010-0000-1200-000001000000}" name="Column1"/>
    <tableColumn id="2" xr3:uid="{00000000-0010-0000-1200-000002000000}" name="Column2"/>
    <tableColumn id="14" xr3:uid="{00000000-0010-0000-1200-00000E000000}" name="Column10"/>
    <tableColumn id="3" xr3:uid="{00000000-0010-0000-1200-000003000000}" name="Column3" dataDxfId="46">
      <calculatedColumnFormula>Table15678910[[#This Row],[Column102]]/Table15678910[[#This Row],[Column2]]*0.1</calculatedColumnFormula>
    </tableColumn>
    <tableColumn id="12" xr3:uid="{00000000-0010-0000-1200-00000C000000}" name="Column32" dataDxfId="45"/>
    <tableColumn id="4" xr3:uid="{00000000-0010-0000-1200-000004000000}" name="Column4"/>
    <tableColumn id="5" xr3:uid="{00000000-0010-0000-1200-000005000000}" name="Column5"/>
    <tableColumn id="13" xr3:uid="{00000000-0010-0000-1200-00000D000000}" name="Column52"/>
    <tableColumn id="6" xr3:uid="{00000000-0010-0000-1200-000006000000}" name="Column6" dataDxfId="44">
      <calculatedColumnFormula>Table15678910[[#This Row],[Column5]]/Table15678910[[#This Row],[Column2]]*100</calculatedColumnFormula>
    </tableColumn>
    <tableColumn id="7" xr3:uid="{00000000-0010-0000-1200-000007000000}" name="Column7"/>
    <tableColumn id="8" xr3:uid="{00000000-0010-0000-1200-000008000000}" name="Column8" dataDxfId="43">
      <calculatedColumnFormula>Table15678910[[#This Row],[Column102]]/Table15678910[[#This Row],[Column5]]*100</calculatedColumnFormula>
    </tableColumn>
    <tableColumn id="9" xr3:uid="{00000000-0010-0000-1200-000009000000}" name="Column9"/>
    <tableColumn id="10" xr3:uid="{00000000-0010-0000-1200-00000A000000}" name="Column102"/>
    <tableColumn id="11" xr3:uid="{00000000-0010-0000-1200-00000B000000}" name="Column11"/>
  </tableColumns>
  <tableStyleInfo name="TableStyleMedium9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14" displayName="Table14" ref="E10:S33" totalsRowShown="0">
  <autoFilter ref="E10:S33" xr:uid="{00000000-0009-0000-0100-000003000000}"/>
  <sortState xmlns:xlrd2="http://schemas.microsoft.com/office/spreadsheetml/2017/richdata2" ref="E11:S25">
    <sortCondition ref="S10:S25"/>
  </sortState>
  <tableColumns count="15">
    <tableColumn id="1" xr3:uid="{00000000-0010-0000-1300-000001000000}" name="Column1"/>
    <tableColumn id="2" xr3:uid="{00000000-0010-0000-1300-000002000000}" name="Column2"/>
    <tableColumn id="15" xr3:uid="{00000000-0010-0000-1300-00000F000000}" name="Column10"/>
    <tableColumn id="3" xr3:uid="{00000000-0010-0000-1300-000003000000}" name="Column3" dataDxfId="42">
      <calculatedColumnFormula>Table14[[#This Row],[Column102]]/Table14[[#This Row],[Column2]]*0.1</calculatedColumnFormula>
    </tableColumn>
    <tableColumn id="12" xr3:uid="{00000000-0010-0000-1300-00000C000000}" name="Column32" dataDxfId="41">
      <calculatedColumnFormula>Table14[[#This Row],[Column102]]/Table14[[#This Row],[Column2]]*0.1</calculatedColumnFormula>
    </tableColumn>
    <tableColumn id="4" xr3:uid="{00000000-0010-0000-1300-000004000000}" name="Column4"/>
    <tableColumn id="14" xr3:uid="{00000000-0010-0000-1300-00000E000000}" name="Column42"/>
    <tableColumn id="5" xr3:uid="{00000000-0010-0000-1300-000005000000}" name="Column5"/>
    <tableColumn id="13" xr3:uid="{00000000-0010-0000-1300-00000D000000}" name="Column52"/>
    <tableColumn id="6" xr3:uid="{00000000-0010-0000-1300-000006000000}" name="Column6" dataDxfId="40">
      <calculatedColumnFormula>Table14[[#This Row],[Column5]]/Table14[[#This Row],[Column2]]*100</calculatedColumnFormula>
    </tableColumn>
    <tableColumn id="7" xr3:uid="{00000000-0010-0000-1300-000007000000}" name="Column7"/>
    <tableColumn id="8" xr3:uid="{00000000-0010-0000-1300-000008000000}" name="Column8" dataDxfId="39">
      <calculatedColumnFormula>Table14[[#This Row],[Column102]]/Table14[[#This Row],[Column5]]*100</calculatedColumnFormula>
    </tableColumn>
    <tableColumn id="9" xr3:uid="{00000000-0010-0000-1300-000009000000}" name="Column9"/>
    <tableColumn id="10" xr3:uid="{00000000-0010-0000-1300-00000A000000}" name="Column102"/>
    <tableColumn id="11" xr3:uid="{00000000-0010-0000-1300-00000B000000}" name="Column11"/>
  </tableColumns>
  <tableStyleInfo name="TableStyleMedium9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4000000}" name="Table123" displayName="Table123" ref="E9:R30" totalsRowShown="0">
  <autoFilter ref="E9:R30" xr:uid="{00000000-0009-0000-0100-000016000000}"/>
  <tableColumns count="14">
    <tableColumn id="1" xr3:uid="{00000000-0010-0000-1400-000001000000}" name="Column1"/>
    <tableColumn id="2" xr3:uid="{00000000-0010-0000-1400-000002000000}" name="Column2"/>
    <tableColumn id="15" xr3:uid="{00000000-0010-0000-1400-00000F000000}" name="Column10"/>
    <tableColumn id="3" xr3:uid="{00000000-0010-0000-1400-000003000000}" name="Column3" dataDxfId="38">
      <calculatedColumnFormula>Table123[[#This Row],[Column102]]/Table123[[#This Row],[Column2]]*100</calculatedColumnFormula>
    </tableColumn>
    <tableColumn id="12" xr3:uid="{00000000-0010-0000-1400-00000C000000}" name="Column32"/>
    <tableColumn id="4" xr3:uid="{00000000-0010-0000-1400-000004000000}" name="Column4"/>
    <tableColumn id="5" xr3:uid="{00000000-0010-0000-1400-000005000000}" name="Column5"/>
    <tableColumn id="13" xr3:uid="{00000000-0010-0000-1400-00000D000000}" name="Column52"/>
    <tableColumn id="6" xr3:uid="{00000000-0010-0000-1400-000006000000}" name="Column6" dataDxfId="37">
      <calculatedColumnFormula>Table123[[#This Row],[Column5]]/Table123[[#This Row],[Column2]]*100</calculatedColumnFormula>
    </tableColumn>
    <tableColumn id="7" xr3:uid="{00000000-0010-0000-1400-000007000000}" name="Column7"/>
    <tableColumn id="8" xr3:uid="{00000000-0010-0000-1400-000008000000}" name="Column8" dataDxfId="36">
      <calculatedColumnFormula>Table123[[#This Row],[Column102]]/Table123[[#This Row],[Column5]]*100</calculatedColumnFormula>
    </tableColumn>
    <tableColumn id="9" xr3:uid="{00000000-0010-0000-1400-000009000000}" name="Column9"/>
    <tableColumn id="10" xr3:uid="{00000000-0010-0000-1400-00000A000000}" name="Column102" dataDxfId="35">
      <calculatedColumnFormula>[1]!Table138[[#This Row],[Column3]]*[1]!Table138[[#This Row],[Column4]]</calculatedColumnFormula>
    </tableColumn>
    <tableColumn id="11" xr3:uid="{00000000-0010-0000-1400-00000B000000}" name="Column11"/>
  </tableColumns>
  <tableStyleInfo name="TableStyleMedium9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91346B48-2697-AC49-87BC-E186EE60CD48}" name="Table125" displayName="Table125" ref="E9:Q25" totalsRowShown="0">
  <autoFilter ref="E9:Q25" xr:uid="{E1ACEC3D-235C-DF43-9784-FEA6EB2672A8}"/>
  <sortState xmlns:xlrd2="http://schemas.microsoft.com/office/spreadsheetml/2017/richdata2" ref="E10:Q25">
    <sortCondition descending="1" ref="G9:G25"/>
  </sortState>
  <tableColumns count="13">
    <tableColumn id="1" xr3:uid="{A5B557CF-F50F-004B-AE93-B3830B2043CB}" name="Column1"/>
    <tableColumn id="2" xr3:uid="{A177C2B4-7515-5A45-BEDF-764C6D2028A2}" name="Column2"/>
    <tableColumn id="3" xr3:uid="{DC6E4D0F-8181-1540-AD4C-240CE25A3C84}" name="Column3" dataDxfId="34">
      <calculatedColumnFormula>Table125[[#This Row],[Column10]]/Table125[[#This Row],[Column2]]*100</calculatedColumnFormula>
    </tableColumn>
    <tableColumn id="4" xr3:uid="{66718226-5EEA-F249-B521-EA12ABF6F169}" name="Column4"/>
    <tableColumn id="5" xr3:uid="{3AF8DDE0-813B-4B4C-903A-570817A3DFEC}" name="Column5"/>
    <tableColumn id="13" xr3:uid="{297EB131-287B-8746-8645-118B3B3F5E0F}" name="Column52"/>
    <tableColumn id="6" xr3:uid="{44DEE4FB-0A58-374C-805B-2551A91C5EAD}" name="Column6" dataDxfId="33">
      <calculatedColumnFormula>Table125[[#This Row],[Column5]]/Table125[[#This Row],[Column2]]*100</calculatedColumnFormula>
    </tableColumn>
    <tableColumn id="7" xr3:uid="{75130655-9D4A-8C46-994F-59FF4B82AF51}" name="Column7"/>
    <tableColumn id="8" xr3:uid="{22BD3B64-739C-4D42-BEAB-40BF5ECE1625}" name="Column8" dataDxfId="32">
      <calculatedColumnFormula>Table125[[#This Row],[Column10]]/Table125[[#This Row],[Column5]]*100</calculatedColumnFormula>
    </tableColumn>
    <tableColumn id="9" xr3:uid="{94E73D30-ADFA-D04B-81B4-BBBC62A744DE}" name="Column9"/>
    <tableColumn id="10" xr3:uid="{4505DD88-610E-7844-BCB1-98DF3D5E7972}" name="Column10" dataDxfId="31"/>
    <tableColumn id="11" xr3:uid="{23BFE323-40CE-2040-8E93-340F63ECDE02}" name="Column11"/>
    <tableColumn id="12" xr3:uid="{568A1A92-ECDF-1A4E-8EEC-B7C5B56E89C1}" name="Column12"/>
  </tableColumns>
  <tableStyleInfo name="TableStyleMedium9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B75D1D1B-2F46-E04D-B3AE-29C298041F4E}" name="Table12526" displayName="Table12526" ref="E9:Q25" totalsRowShown="0">
  <autoFilter ref="E9:Q25" xr:uid="{AC943CBF-C181-F74A-9AEE-891DC472EB29}"/>
  <sortState xmlns:xlrd2="http://schemas.microsoft.com/office/spreadsheetml/2017/richdata2" ref="E10:Q25">
    <sortCondition descending="1" ref="G9:G25"/>
  </sortState>
  <tableColumns count="13">
    <tableColumn id="1" xr3:uid="{3A9308FB-2D6F-4847-80A0-EE1D2E39F531}" name="Column1"/>
    <tableColumn id="2" xr3:uid="{DBEE8330-9A8D-434D-8987-51C17428FB54}" name="Column2"/>
    <tableColumn id="3" xr3:uid="{A587E594-A76F-DC4D-A9E1-B8DFA1A11A96}" name="Column3" dataDxfId="30">
      <calculatedColumnFormula>Table12526[[#This Row],[Column10]]/Table12526[[#This Row],[Column2]]*100</calculatedColumnFormula>
    </tableColumn>
    <tableColumn id="4" xr3:uid="{0D9369AC-B31D-0E40-9226-0B1678F4FD43}" name="Column4"/>
    <tableColumn id="5" xr3:uid="{0DFBE4C8-1EB1-EF4C-B488-8B47AAB4B612}" name="Column5"/>
    <tableColumn id="13" xr3:uid="{006C5DDB-80B2-3646-8F66-2A7BD8A2873E}" name="Column52"/>
    <tableColumn id="6" xr3:uid="{5BB6F590-ADFE-0040-85F4-9E06C0D32E66}" name="Column6" dataDxfId="29">
      <calculatedColumnFormula>Table12526[[#This Row],[Column5]]/Table12526[[#This Row],[Column2]]*100</calculatedColumnFormula>
    </tableColumn>
    <tableColumn id="7" xr3:uid="{87F8B7EF-6ECB-5146-85CD-307787B99254}" name="Column7"/>
    <tableColumn id="8" xr3:uid="{68615859-FDFA-8144-B4CE-468018FFB7CB}" name="Column8" dataDxfId="28">
      <calculatedColumnFormula>Table12526[[#This Row],[Column10]]/Table12526[[#This Row],[Column5]]*100</calculatedColumnFormula>
    </tableColumn>
    <tableColumn id="9" xr3:uid="{40E092D7-8B04-7147-A789-F496CC0D9C7B}" name="Column9"/>
    <tableColumn id="10" xr3:uid="{81F046F9-F0D1-A749-A723-2133C90B8B31}" name="Column10"/>
    <tableColumn id="11" xr3:uid="{011AA257-C2EE-DC46-A3AA-C8A38D4E2CDA}" name="Column11"/>
    <tableColumn id="12" xr3:uid="{F61C85AA-0CF1-EB4E-897C-ABAD9980F85A}" name="Column12"/>
  </tableColumns>
  <tableStyleInfo name="TableStyleMedium9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15000000}" name="Table11" displayName="Table11" ref="B12:AA86" totalsRowShown="0">
  <autoFilter ref="B12:AA86" xr:uid="{00000000-0009-0000-0100-00000B000000}"/>
  <sortState xmlns:xlrd2="http://schemas.microsoft.com/office/spreadsheetml/2017/richdata2" ref="B13:AA86">
    <sortCondition descending="1" ref="Z12:Z86"/>
  </sortState>
  <tableColumns count="26">
    <tableColumn id="1" xr3:uid="{00000000-0010-0000-1500-000001000000}" name="Column1"/>
    <tableColumn id="2" xr3:uid="{00000000-0010-0000-1500-000002000000}" name="Column2"/>
    <tableColumn id="3" xr3:uid="{00000000-0010-0000-1500-000003000000}" name="Column3"/>
    <tableColumn id="4" xr3:uid="{00000000-0010-0000-1500-000004000000}" name="Column4"/>
    <tableColumn id="5" xr3:uid="{00000000-0010-0000-1500-000005000000}" name="Column5"/>
    <tableColumn id="6" xr3:uid="{00000000-0010-0000-1500-000006000000}" name="Column6"/>
    <tableColumn id="7" xr3:uid="{00000000-0010-0000-1500-000007000000}" name="Column7"/>
    <tableColumn id="8" xr3:uid="{00000000-0010-0000-1500-000008000000}" name="Column8"/>
    <tableColumn id="9" xr3:uid="{00000000-0010-0000-1500-000009000000}" name="Column9"/>
    <tableColumn id="10" xr3:uid="{00000000-0010-0000-1500-00000A000000}" name="Column10"/>
    <tableColumn id="11" xr3:uid="{00000000-0010-0000-1500-00000B000000}" name="Column11"/>
    <tableColumn id="12" xr3:uid="{00000000-0010-0000-1500-00000C000000}" name="Column12"/>
    <tableColumn id="13" xr3:uid="{00000000-0010-0000-1500-00000D000000}" name="Column13"/>
    <tableColumn id="14" xr3:uid="{00000000-0010-0000-1500-00000E000000}" name="Column14"/>
    <tableColumn id="15" xr3:uid="{00000000-0010-0000-1500-00000F000000}" name="Column15"/>
    <tableColumn id="16" xr3:uid="{00000000-0010-0000-1500-000010000000}" name="Column16"/>
    <tableColumn id="17" xr3:uid="{00000000-0010-0000-1500-000011000000}" name="Column17"/>
    <tableColumn id="18" xr3:uid="{00000000-0010-0000-1500-000012000000}" name="Column18"/>
    <tableColumn id="19" xr3:uid="{00000000-0010-0000-1500-000013000000}" name="Column19"/>
    <tableColumn id="20" xr3:uid="{00000000-0010-0000-1500-000014000000}" name="Column20"/>
    <tableColumn id="21" xr3:uid="{00000000-0010-0000-1500-000015000000}" name="Column21"/>
    <tableColumn id="22" xr3:uid="{00000000-0010-0000-1500-000016000000}" name="Column22"/>
    <tableColumn id="23" xr3:uid="{00000000-0010-0000-1500-000017000000}" name="Column23"/>
    <tableColumn id="26" xr3:uid="{382FDB6A-E711-9545-AC08-B4A40220599C}" name="Column24"/>
    <tableColumn id="24" xr3:uid="{00000000-0010-0000-1500-000018000000}" name="Column 24"/>
    <tableColumn id="25" xr3:uid="{00000000-0010-0000-1500-000019000000}" name="Column25"/>
  </tableColumns>
  <tableStyleInfo name="TableStyleMedium9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e822" displayName="Table822" ref="B9:AB86" totalsRowCount="1">
  <sortState xmlns:xlrd2="http://schemas.microsoft.com/office/spreadsheetml/2017/richdata2" ref="B10:AB85">
    <sortCondition descending="1" ref="Z9"/>
  </sortState>
  <tableColumns count="27">
    <tableColumn id="1" xr3:uid="{00000000-0010-0000-1600-000001000000}" name="Column1" totalsRowDxfId="27"/>
    <tableColumn id="2" xr3:uid="{00000000-0010-0000-1600-000002000000}" name="Column2" totalsRowDxfId="26"/>
    <tableColumn id="3" xr3:uid="{00000000-0010-0000-1600-000003000000}" name="Column3" totalsRowDxfId="25"/>
    <tableColumn id="4" xr3:uid="{00000000-0010-0000-1600-000004000000}" name="Column4" totalsRowDxfId="24"/>
    <tableColumn id="5" xr3:uid="{00000000-0010-0000-1600-000005000000}" name="Column5" totalsRowDxfId="23"/>
    <tableColumn id="6" xr3:uid="{00000000-0010-0000-1600-000006000000}" name="Column6" totalsRowDxfId="22"/>
    <tableColumn id="7" xr3:uid="{00000000-0010-0000-1600-000007000000}" name="Column7" totalsRowDxfId="21"/>
    <tableColumn id="8" xr3:uid="{00000000-0010-0000-1600-000008000000}" name="Column8" totalsRowDxfId="20"/>
    <tableColumn id="9" xr3:uid="{00000000-0010-0000-1600-000009000000}" name="Column9" totalsRowDxfId="19"/>
    <tableColumn id="10" xr3:uid="{00000000-0010-0000-1600-00000A000000}" name="Column10" totalsRowDxfId="18"/>
    <tableColumn id="11" xr3:uid="{00000000-0010-0000-1600-00000B000000}" name="Column11" totalsRowDxfId="17"/>
    <tableColumn id="12" xr3:uid="{00000000-0010-0000-1600-00000C000000}" name="Column12" totalsRowDxfId="16"/>
    <tableColumn id="13" xr3:uid="{00000000-0010-0000-1600-00000D000000}" name="Column13" totalsRowDxfId="15"/>
    <tableColumn id="14" xr3:uid="{00000000-0010-0000-1600-00000E000000}" name="Column14" totalsRowDxfId="14"/>
    <tableColumn id="15" xr3:uid="{00000000-0010-0000-1600-00000F000000}" name="Column15" totalsRowDxfId="13"/>
    <tableColumn id="16" xr3:uid="{00000000-0010-0000-1600-000010000000}" name="Column16" totalsRowDxfId="12"/>
    <tableColumn id="17" xr3:uid="{00000000-0010-0000-1600-000011000000}" name="Column17" totalsRowDxfId="11"/>
    <tableColumn id="18" xr3:uid="{00000000-0010-0000-1600-000012000000}" name="Column18" totalsRowDxfId="10"/>
    <tableColumn id="19" xr3:uid="{00000000-0010-0000-1600-000013000000}" name="Column19" totalsRowDxfId="9"/>
    <tableColumn id="20" xr3:uid="{00000000-0010-0000-1600-000014000000}" name="Column20" totalsRowDxfId="8"/>
    <tableColumn id="21" xr3:uid="{00000000-0010-0000-1600-000015000000}" name="Column21" totalsRowDxfId="7"/>
    <tableColumn id="22" xr3:uid="{00000000-0010-0000-1600-000016000000}" name="Column22" dataDxfId="6" totalsRowDxfId="5">
      <calculatedColumnFormula>AVERAGE(E10:V10)</calculatedColumnFormula>
    </tableColumn>
    <tableColumn id="23" xr3:uid="{00000000-0010-0000-1600-000017000000}" name="Column23" totalsRowDxfId="4"/>
    <tableColumn id="27" xr3:uid="{3A2162BD-854A-0444-92E8-839F27967B6A}" name="Column24"/>
    <tableColumn id="24" xr3:uid="{00000000-0010-0000-1600-000018000000}" name="Column 24" dataDxfId="3" totalsRowDxfId="2">
      <calculatedColumnFormula>SUM(E10:W10)</calculatedColumnFormula>
    </tableColumn>
    <tableColumn id="25" xr3:uid="{00000000-0010-0000-1600-000019000000}" name="Column25" totalsRowDxfId="1"/>
    <tableColumn id="26" xr3:uid="{00000000-0010-0000-1600-00001A000000}" name="Column26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9:P26"/>
  <sheetViews>
    <sheetView workbookViewId="0">
      <pane xSplit="4480" activePane="topRight"/>
      <selection pane="topRight" activeCell="D8" sqref="D8:Q29"/>
    </sheetView>
  </sheetViews>
  <sheetFormatPr baseColWidth="10" defaultRowHeight="16" x14ac:dyDescent="0.2"/>
  <sheetData>
    <row r="9" spans="5:16" ht="68" x14ac:dyDescent="0.2">
      <c r="E9" s="1" t="s">
        <v>10</v>
      </c>
      <c r="F9" t="s">
        <v>11</v>
      </c>
      <c r="G9" s="1" t="s">
        <v>12</v>
      </c>
      <c r="H9" s="1" t="s">
        <v>13</v>
      </c>
      <c r="I9" s="1" t="s">
        <v>14</v>
      </c>
      <c r="J9" s="1" t="s">
        <v>10</v>
      </c>
      <c r="K9" s="1" t="s">
        <v>15</v>
      </c>
      <c r="L9" s="1" t="s">
        <v>16</v>
      </c>
      <c r="M9" s="1" t="s">
        <v>17</v>
      </c>
      <c r="N9" s="1" t="s">
        <v>18</v>
      </c>
      <c r="O9" s="1" t="s">
        <v>19</v>
      </c>
      <c r="P9" s="1" t="s">
        <v>21</v>
      </c>
    </row>
    <row r="10" spans="5:16" x14ac:dyDescent="0.2">
      <c r="E10" t="s">
        <v>0</v>
      </c>
      <c r="F10" t="s">
        <v>1</v>
      </c>
      <c r="G10" t="s">
        <v>2</v>
      </c>
      <c r="H10" t="s">
        <v>3</v>
      </c>
      <c r="I10" t="s">
        <v>4</v>
      </c>
      <c r="J10" t="s">
        <v>22</v>
      </c>
      <c r="K10" t="s">
        <v>5</v>
      </c>
      <c r="L10" t="s">
        <v>6</v>
      </c>
      <c r="M10" t="s">
        <v>7</v>
      </c>
      <c r="N10" t="s">
        <v>8</v>
      </c>
      <c r="O10" t="s">
        <v>9</v>
      </c>
      <c r="P10" t="s">
        <v>20</v>
      </c>
    </row>
    <row r="11" spans="5:16" x14ac:dyDescent="0.2">
      <c r="G11" t="e">
        <f>Table1567891015[[#This Row],[Column10]]/Table1567891015[[#This Row],[Column2]]*100</f>
        <v>#DIV/0!</v>
      </c>
      <c r="K11" t="e">
        <f>Table1567891015[[#This Row],[Column5]]/Table1567891015[[#This Row],[Column2]]*100</f>
        <v>#DIV/0!</v>
      </c>
      <c r="M11" t="e">
        <f>Table1567891015[[#This Row],[Column10]]/Table1567891015[[#This Row],[Column5]]*100</f>
        <v>#DIV/0!</v>
      </c>
    </row>
    <row r="12" spans="5:16" x14ac:dyDescent="0.2">
      <c r="G12" t="e">
        <f>Table1567891015[[#This Row],[Column10]]/Table1567891015[[#This Row],[Column2]]*100</f>
        <v>#DIV/0!</v>
      </c>
      <c r="K12" t="e">
        <f>Table1567891015[[#This Row],[Column5]]/Table1567891015[[#This Row],[Column2]]*100</f>
        <v>#DIV/0!</v>
      </c>
      <c r="M12" t="e">
        <f>Table1567891015[[#This Row],[Column10]]/Table1567891015[[#This Row],[Column5]]*100</f>
        <v>#DIV/0!</v>
      </c>
    </row>
    <row r="13" spans="5:16" x14ac:dyDescent="0.2">
      <c r="G13" t="e">
        <f>Table1567891015[[#This Row],[Column10]]/Table1567891015[[#This Row],[Column2]]*100</f>
        <v>#DIV/0!</v>
      </c>
      <c r="K13" t="e">
        <f>Table1567891015[[#This Row],[Column5]]/Table1567891015[[#This Row],[Column2]]*100</f>
        <v>#DIV/0!</v>
      </c>
      <c r="M13" t="e">
        <f>Table1567891015[[#This Row],[Column10]]/Table1567891015[[#This Row],[Column5]]*100</f>
        <v>#DIV/0!</v>
      </c>
    </row>
    <row r="14" spans="5:16" x14ac:dyDescent="0.2">
      <c r="G14" t="e">
        <f>Table1567891015[[#This Row],[Column10]]/Table1567891015[[#This Row],[Column2]]*100</f>
        <v>#DIV/0!</v>
      </c>
      <c r="K14" t="e">
        <f>Table1567891015[[#This Row],[Column5]]/Table1567891015[[#This Row],[Column2]]*100</f>
        <v>#DIV/0!</v>
      </c>
      <c r="M14" t="e">
        <f>Table1567891015[[#This Row],[Column10]]/Table1567891015[[#This Row],[Column5]]*100</f>
        <v>#DIV/0!</v>
      </c>
    </row>
    <row r="15" spans="5:16" x14ac:dyDescent="0.2">
      <c r="G15" t="e">
        <f>Table1567891015[[#This Row],[Column10]]/Table1567891015[[#This Row],[Column2]]*100</f>
        <v>#DIV/0!</v>
      </c>
      <c r="K15" t="e">
        <f>Table1567891015[[#This Row],[Column5]]/Table1567891015[[#This Row],[Column2]]*100</f>
        <v>#DIV/0!</v>
      </c>
      <c r="M15" t="e">
        <f>Table1567891015[[#This Row],[Column10]]/Table1567891015[[#This Row],[Column5]]*100</f>
        <v>#DIV/0!</v>
      </c>
    </row>
    <row r="16" spans="5:16" x14ac:dyDescent="0.2">
      <c r="G16" t="e">
        <f>Table1567891015[[#This Row],[Column10]]/Table1567891015[[#This Row],[Column2]]*100</f>
        <v>#DIV/0!</v>
      </c>
      <c r="K16" t="e">
        <f>Table1567891015[[#This Row],[Column5]]/Table1567891015[[#This Row],[Column2]]*100</f>
        <v>#DIV/0!</v>
      </c>
      <c r="M16" t="e">
        <f>Table1567891015[[#This Row],[Column10]]/Table1567891015[[#This Row],[Column5]]*100</f>
        <v>#DIV/0!</v>
      </c>
    </row>
    <row r="17" spans="7:13" x14ac:dyDescent="0.2">
      <c r="G17" t="e">
        <f>Table1567891015[[#This Row],[Column10]]/Table1567891015[[#This Row],[Column2]]*100</f>
        <v>#DIV/0!</v>
      </c>
      <c r="K17" t="e">
        <f>Table1567891015[[#This Row],[Column5]]/Table1567891015[[#This Row],[Column2]]*100</f>
        <v>#DIV/0!</v>
      </c>
      <c r="M17" t="e">
        <f>Table1567891015[[#This Row],[Column10]]/Table1567891015[[#This Row],[Column5]]*100</f>
        <v>#DIV/0!</v>
      </c>
    </row>
    <row r="18" spans="7:13" x14ac:dyDescent="0.2">
      <c r="G18" t="e">
        <f>Table1567891015[[#This Row],[Column10]]/Table1567891015[[#This Row],[Column2]]*100</f>
        <v>#DIV/0!</v>
      </c>
      <c r="K18" t="e">
        <f>Table1567891015[[#This Row],[Column5]]/Table1567891015[[#This Row],[Column2]]*100</f>
        <v>#DIV/0!</v>
      </c>
      <c r="M18" t="e">
        <f>Table1567891015[[#This Row],[Column10]]/Table1567891015[[#This Row],[Column5]]*100</f>
        <v>#DIV/0!</v>
      </c>
    </row>
    <row r="19" spans="7:13" x14ac:dyDescent="0.2">
      <c r="G19" t="e">
        <f>Table1567891015[[#This Row],[Column10]]/Table1567891015[[#This Row],[Column2]]*100</f>
        <v>#DIV/0!</v>
      </c>
      <c r="K19" t="e">
        <f>Table1567891015[[#This Row],[Column5]]/Table1567891015[[#This Row],[Column2]]*100</f>
        <v>#DIV/0!</v>
      </c>
      <c r="M19" t="e">
        <f>Table1567891015[[#This Row],[Column10]]/Table1567891015[[#This Row],[Column5]]*100</f>
        <v>#DIV/0!</v>
      </c>
    </row>
    <row r="20" spans="7:13" x14ac:dyDescent="0.2">
      <c r="G20" t="e">
        <f>Table1567891015[[#This Row],[Column10]]/Table1567891015[[#This Row],[Column2]]*100</f>
        <v>#DIV/0!</v>
      </c>
      <c r="K20" t="e">
        <f>Table1567891015[[#This Row],[Column5]]/Table1567891015[[#This Row],[Column2]]*100</f>
        <v>#DIV/0!</v>
      </c>
      <c r="M20" t="e">
        <f>Table1567891015[[#This Row],[Column10]]/Table1567891015[[#This Row],[Column5]]*100</f>
        <v>#DIV/0!</v>
      </c>
    </row>
    <row r="21" spans="7:13" x14ac:dyDescent="0.2">
      <c r="G21" t="e">
        <f>Table1567891015[[#This Row],[Column10]]/Table1567891015[[#This Row],[Column2]]*100</f>
        <v>#DIV/0!</v>
      </c>
      <c r="K21" t="e">
        <f>Table1567891015[[#This Row],[Column5]]/Table1567891015[[#This Row],[Column2]]*100</f>
        <v>#DIV/0!</v>
      </c>
      <c r="M21" t="e">
        <f>Table1567891015[[#This Row],[Column10]]/Table1567891015[[#This Row],[Column5]]*100</f>
        <v>#DIV/0!</v>
      </c>
    </row>
    <row r="22" spans="7:13" x14ac:dyDescent="0.2">
      <c r="G22" t="e">
        <f>Table1567891015[[#This Row],[Column10]]/Table1567891015[[#This Row],[Column2]]*100</f>
        <v>#DIV/0!</v>
      </c>
      <c r="K22" t="e">
        <f>Table1567891015[[#This Row],[Column5]]/Table1567891015[[#This Row],[Column2]]*100</f>
        <v>#DIV/0!</v>
      </c>
      <c r="M22" t="e">
        <f>Table1567891015[[#This Row],[Column10]]/Table1567891015[[#This Row],[Column5]]*100</f>
        <v>#DIV/0!</v>
      </c>
    </row>
    <row r="23" spans="7:13" x14ac:dyDescent="0.2">
      <c r="G23" t="e">
        <f>Table1567891015[[#This Row],[Column10]]/Table1567891015[[#This Row],[Column2]]*100</f>
        <v>#DIV/0!</v>
      </c>
      <c r="K23" t="e">
        <f>Table1567891015[[#This Row],[Column5]]/Table1567891015[[#This Row],[Column2]]*100</f>
        <v>#DIV/0!</v>
      </c>
      <c r="M23" t="e">
        <f>Table1567891015[[#This Row],[Column10]]/Table1567891015[[#This Row],[Column5]]*100</f>
        <v>#DIV/0!</v>
      </c>
    </row>
    <row r="24" spans="7:13" x14ac:dyDescent="0.2">
      <c r="G24" t="e">
        <f>Table1567891015[[#This Row],[Column10]]/Table1567891015[[#This Row],[Column2]]*100</f>
        <v>#DIV/0!</v>
      </c>
      <c r="K24" t="e">
        <f>Table1567891015[[#This Row],[Column5]]/Table1567891015[[#This Row],[Column2]]*100</f>
        <v>#DIV/0!</v>
      </c>
      <c r="M24" t="e">
        <f>Table1567891015[[#This Row],[Column10]]/Table1567891015[[#This Row],[Column5]]*100</f>
        <v>#DIV/0!</v>
      </c>
    </row>
    <row r="25" spans="7:13" x14ac:dyDescent="0.2">
      <c r="G25" t="e">
        <f>Table1567891015[[#This Row],[Column10]]/Table1567891015[[#This Row],[Column2]]*100</f>
        <v>#DIV/0!</v>
      </c>
      <c r="K25" t="e">
        <f>Table1567891015[[#This Row],[Column5]]/Table1567891015[[#This Row],[Column2]]*100</f>
        <v>#DIV/0!</v>
      </c>
      <c r="M25" t="e">
        <f>Table1567891015[[#This Row],[Column10]]/Table1567891015[[#This Row],[Column5]]*100</f>
        <v>#DIV/0!</v>
      </c>
    </row>
    <row r="26" spans="7:13" x14ac:dyDescent="0.2">
      <c r="G26" t="e">
        <f>Table1567891015[[#This Row],[Column10]]/Table1567891015[[#This Row],[Column2]]*100</f>
        <v>#DIV/0!</v>
      </c>
      <c r="K26" t="e">
        <f>Table1567891015[[#This Row],[Column5]]/Table1567891015[[#This Row],[Column2]]*100</f>
        <v>#DIV/0!</v>
      </c>
      <c r="M26" t="e">
        <f>Table1567891015[[#This Row],[Column10]]/Table1567891015[[#This Row],[Column5]]*100</f>
        <v>#DIV/0!</v>
      </c>
    </row>
  </sheetData>
  <pageMargins left="0.75" right="0.75" top="1" bottom="1" header="0.5" footer="0.5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8:P25"/>
  <sheetViews>
    <sheetView workbookViewId="0">
      <selection activeCell="D7" sqref="A1:XFD1048576"/>
    </sheetView>
  </sheetViews>
  <sheetFormatPr baseColWidth="10" defaultRowHeight="16" x14ac:dyDescent="0.2"/>
  <cols>
    <col min="5" max="14" width="11" customWidth="1"/>
    <col min="15" max="15" width="12" customWidth="1"/>
  </cols>
  <sheetData>
    <row r="8" spans="5:16" ht="68" x14ac:dyDescent="0.2">
      <c r="E8" s="1" t="s">
        <v>10</v>
      </c>
      <c r="F8" t="s">
        <v>11</v>
      </c>
      <c r="G8" s="1" t="s">
        <v>12</v>
      </c>
      <c r="H8" s="1" t="s">
        <v>13</v>
      </c>
      <c r="I8" s="1" t="s">
        <v>14</v>
      </c>
      <c r="J8" s="1" t="s">
        <v>10</v>
      </c>
      <c r="K8" s="1" t="s">
        <v>15</v>
      </c>
      <c r="L8" s="1" t="s">
        <v>16</v>
      </c>
      <c r="M8" s="1" t="s">
        <v>17</v>
      </c>
      <c r="N8" s="1" t="s">
        <v>18</v>
      </c>
      <c r="O8" s="1" t="s">
        <v>19</v>
      </c>
      <c r="P8" s="1" t="s">
        <v>21</v>
      </c>
    </row>
    <row r="9" spans="5:16" x14ac:dyDescent="0.2">
      <c r="E9" t="s">
        <v>0</v>
      </c>
      <c r="F9" t="s">
        <v>1</v>
      </c>
      <c r="G9" t="s">
        <v>2</v>
      </c>
      <c r="H9" t="s">
        <v>3</v>
      </c>
      <c r="I9" t="s">
        <v>4</v>
      </c>
      <c r="J9" t="s">
        <v>22</v>
      </c>
      <c r="K9" t="s">
        <v>5</v>
      </c>
      <c r="L9" t="s">
        <v>6</v>
      </c>
      <c r="M9" t="s">
        <v>7</v>
      </c>
      <c r="N9" t="s">
        <v>8</v>
      </c>
      <c r="O9" t="s">
        <v>9</v>
      </c>
      <c r="P9" t="s">
        <v>20</v>
      </c>
    </row>
    <row r="10" spans="5:16" x14ac:dyDescent="0.2">
      <c r="G10" t="e">
        <f>Table1[[#This Row],[Column10]]/Table1[[#This Row],[Column2]]*100</f>
        <v>#DIV/0!</v>
      </c>
      <c r="K10" t="e">
        <f>Table1[[#This Row],[Column5]]/Table1[[#This Row],[Column2]]*100</f>
        <v>#DIV/0!</v>
      </c>
      <c r="M10" t="e">
        <f>Table1[[#This Row],[Column10]]/Table1[[#This Row],[Column5]]*100</f>
        <v>#DIV/0!</v>
      </c>
    </row>
    <row r="11" spans="5:16" x14ac:dyDescent="0.2">
      <c r="G11" t="e">
        <f>Table1[[#This Row],[Column10]]/Table1[[#This Row],[Column2]]*100</f>
        <v>#DIV/0!</v>
      </c>
      <c r="K11" t="e">
        <f>Table1[[#This Row],[Column5]]/Table1[[#This Row],[Column2]]*100</f>
        <v>#DIV/0!</v>
      </c>
      <c r="M11" t="e">
        <f>Table1[[#This Row],[Column10]]/Table1[[#This Row],[Column5]]*100</f>
        <v>#DIV/0!</v>
      </c>
    </row>
    <row r="12" spans="5:16" x14ac:dyDescent="0.2">
      <c r="G12" t="e">
        <f>Table1[[#This Row],[Column10]]/Table1[[#This Row],[Column2]]*100</f>
        <v>#DIV/0!</v>
      </c>
      <c r="K12" t="e">
        <f>Table1[[#This Row],[Column5]]/Table1[[#This Row],[Column2]]*100</f>
        <v>#DIV/0!</v>
      </c>
      <c r="M12" t="e">
        <f>Table1[[#This Row],[Column10]]/Table1[[#This Row],[Column5]]*100</f>
        <v>#DIV/0!</v>
      </c>
    </row>
    <row r="13" spans="5:16" x14ac:dyDescent="0.2">
      <c r="G13" t="e">
        <f>Table1[[#This Row],[Column10]]/Table1[[#This Row],[Column2]]*100</f>
        <v>#DIV/0!</v>
      </c>
      <c r="K13" t="e">
        <f>Table1[[#This Row],[Column5]]/Table1[[#This Row],[Column2]]*100</f>
        <v>#DIV/0!</v>
      </c>
      <c r="M13" t="e">
        <f>Table1[[#This Row],[Column10]]/Table1[[#This Row],[Column5]]*100</f>
        <v>#DIV/0!</v>
      </c>
    </row>
    <row r="14" spans="5:16" x14ac:dyDescent="0.2">
      <c r="G14" t="e">
        <f>Table1[[#This Row],[Column10]]/Table1[[#This Row],[Column2]]*100</f>
        <v>#DIV/0!</v>
      </c>
      <c r="K14" t="e">
        <f>Table1[[#This Row],[Column5]]/Table1[[#This Row],[Column2]]*100</f>
        <v>#DIV/0!</v>
      </c>
      <c r="M14" t="e">
        <f>Table1[[#This Row],[Column10]]/Table1[[#This Row],[Column5]]*100</f>
        <v>#DIV/0!</v>
      </c>
    </row>
    <row r="15" spans="5:16" x14ac:dyDescent="0.2">
      <c r="G15" t="e">
        <f>Table1[[#This Row],[Column10]]/Table1[[#This Row],[Column2]]*100</f>
        <v>#DIV/0!</v>
      </c>
      <c r="K15" t="e">
        <f>Table1[[#This Row],[Column5]]/Table1[[#This Row],[Column2]]*100</f>
        <v>#DIV/0!</v>
      </c>
      <c r="M15" t="e">
        <f>Table1[[#This Row],[Column10]]/Table1[[#This Row],[Column5]]*100</f>
        <v>#DIV/0!</v>
      </c>
    </row>
    <row r="16" spans="5:16" x14ac:dyDescent="0.2">
      <c r="G16" t="e">
        <f>Table1[[#This Row],[Column10]]/Table1[[#This Row],[Column2]]*100</f>
        <v>#DIV/0!</v>
      </c>
      <c r="K16" t="e">
        <f>Table1[[#This Row],[Column5]]/Table1[[#This Row],[Column2]]*100</f>
        <v>#DIV/0!</v>
      </c>
      <c r="M16" t="e">
        <f>Table1[[#This Row],[Column10]]/Table1[[#This Row],[Column5]]*100</f>
        <v>#DIV/0!</v>
      </c>
    </row>
    <row r="17" spans="7:13" x14ac:dyDescent="0.2">
      <c r="G17" t="e">
        <f>Table1[[#This Row],[Column10]]/Table1[[#This Row],[Column2]]*100</f>
        <v>#DIV/0!</v>
      </c>
      <c r="K17" t="e">
        <f>Table1[[#This Row],[Column5]]/Table1[[#This Row],[Column2]]*100</f>
        <v>#DIV/0!</v>
      </c>
      <c r="M17" t="e">
        <f>Table1[[#This Row],[Column10]]/Table1[[#This Row],[Column5]]*100</f>
        <v>#DIV/0!</v>
      </c>
    </row>
    <row r="18" spans="7:13" x14ac:dyDescent="0.2">
      <c r="G18" t="e">
        <f>Table1[[#This Row],[Column10]]/Table1[[#This Row],[Column2]]*100</f>
        <v>#DIV/0!</v>
      </c>
      <c r="K18" t="e">
        <f>Table1[[#This Row],[Column5]]/Table1[[#This Row],[Column2]]*100</f>
        <v>#DIV/0!</v>
      </c>
      <c r="M18" t="e">
        <f>Table1[[#This Row],[Column10]]/Table1[[#This Row],[Column5]]*100</f>
        <v>#DIV/0!</v>
      </c>
    </row>
    <row r="19" spans="7:13" x14ac:dyDescent="0.2">
      <c r="G19" t="e">
        <f>Table1[[#This Row],[Column10]]/Table1[[#This Row],[Column2]]*100</f>
        <v>#DIV/0!</v>
      </c>
      <c r="K19" t="e">
        <f>Table1[[#This Row],[Column5]]/Table1[[#This Row],[Column2]]*100</f>
        <v>#DIV/0!</v>
      </c>
      <c r="M19" t="e">
        <f>Table1[[#This Row],[Column10]]/Table1[[#This Row],[Column5]]*100</f>
        <v>#DIV/0!</v>
      </c>
    </row>
    <row r="20" spans="7:13" x14ac:dyDescent="0.2">
      <c r="G20" t="e">
        <f>Table1[[#This Row],[Column10]]/Table1[[#This Row],[Column2]]*100</f>
        <v>#DIV/0!</v>
      </c>
      <c r="K20" t="e">
        <f>Table1[[#This Row],[Column5]]/Table1[[#This Row],[Column2]]*100</f>
        <v>#DIV/0!</v>
      </c>
      <c r="M20" t="e">
        <f>Table1[[#This Row],[Column10]]/Table1[[#This Row],[Column5]]*100</f>
        <v>#DIV/0!</v>
      </c>
    </row>
    <row r="21" spans="7:13" x14ac:dyDescent="0.2">
      <c r="G21" t="e">
        <f>Table1[[#This Row],[Column10]]/Table1[[#This Row],[Column2]]*100</f>
        <v>#DIV/0!</v>
      </c>
      <c r="K21" t="e">
        <f>Table1[[#This Row],[Column5]]/Table1[[#This Row],[Column2]]*100</f>
        <v>#DIV/0!</v>
      </c>
      <c r="M21" t="e">
        <f>Table1[[#This Row],[Column10]]/Table1[[#This Row],[Column5]]*100</f>
        <v>#DIV/0!</v>
      </c>
    </row>
    <row r="22" spans="7:13" x14ac:dyDescent="0.2">
      <c r="G22" t="e">
        <f>Table1[[#This Row],[Column10]]/Table1[[#This Row],[Column2]]*100</f>
        <v>#DIV/0!</v>
      </c>
      <c r="K22" t="e">
        <f>Table1[[#This Row],[Column5]]/Table1[[#This Row],[Column2]]*100</f>
        <v>#DIV/0!</v>
      </c>
      <c r="M22" t="e">
        <f>Table1[[#This Row],[Column10]]/Table1[[#This Row],[Column5]]*100</f>
        <v>#DIV/0!</v>
      </c>
    </row>
    <row r="23" spans="7:13" x14ac:dyDescent="0.2">
      <c r="G23" t="e">
        <f>Table1[[#This Row],[Column10]]/Table1[[#This Row],[Column2]]*100</f>
        <v>#DIV/0!</v>
      </c>
      <c r="K23" t="e">
        <f>Table1[[#This Row],[Column5]]/Table1[[#This Row],[Column2]]*100</f>
        <v>#DIV/0!</v>
      </c>
      <c r="M23" t="e">
        <f>Table1[[#This Row],[Column10]]/Table1[[#This Row],[Column5]]*100</f>
        <v>#DIV/0!</v>
      </c>
    </row>
    <row r="24" spans="7:13" x14ac:dyDescent="0.2">
      <c r="G24" t="e">
        <f>Table1[[#This Row],[Column10]]/Table1[[#This Row],[Column2]]*100</f>
        <v>#DIV/0!</v>
      </c>
      <c r="K24" t="e">
        <f>Table1[[#This Row],[Column5]]/Table1[[#This Row],[Column2]]*100</f>
        <v>#DIV/0!</v>
      </c>
      <c r="M24" t="e">
        <f>Table1[[#This Row],[Column10]]/Table1[[#This Row],[Column5]]*100</f>
        <v>#DIV/0!</v>
      </c>
    </row>
    <row r="25" spans="7:13" x14ac:dyDescent="0.2">
      <c r="G25" t="e">
        <f>Table1[[#This Row],[Column10]]/Table1[[#This Row],[Column2]]*100</f>
        <v>#DIV/0!</v>
      </c>
      <c r="K25" t="e">
        <f>Table1[[#This Row],[Column5]]/Table1[[#This Row],[Column2]]*100</f>
        <v>#DIV/0!</v>
      </c>
      <c r="M25" t="e">
        <f>Table1[[#This Row],[Column10]]/Table1[[#This Row],[Column5]]*100</f>
        <v>#DIV/0!</v>
      </c>
    </row>
  </sheetData>
  <phoneticPr fontId="1" type="noConversion"/>
  <pageMargins left="0.75" right="0.75" top="1" bottom="1" header="0.5" footer="0.5"/>
  <pageSetup scale="94" orientation="portrait" horizontalDpi="4294967292" verticalDpi="4294967292"/>
  <colBreaks count="2" manualBreakCount="2">
    <brk id="7" max="1048575" man="1"/>
    <brk id="16" max="1048575" man="1"/>
  </colBreaks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9:R34"/>
  <sheetViews>
    <sheetView topLeftCell="B6" workbookViewId="0">
      <selection activeCell="A28" sqref="A28:XFD28"/>
    </sheetView>
  </sheetViews>
  <sheetFormatPr baseColWidth="10" defaultRowHeight="16" x14ac:dyDescent="0.2"/>
  <cols>
    <col min="8" max="8" width="11.83203125" bestFit="1" customWidth="1"/>
    <col min="9" max="9" width="11.83203125" customWidth="1"/>
  </cols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175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9" t="s">
        <v>23</v>
      </c>
      <c r="E11" t="s">
        <v>148</v>
      </c>
      <c r="F11">
        <v>0.4</v>
      </c>
      <c r="G11">
        <v>478</v>
      </c>
      <c r="H11">
        <f>Table15[[#This Row],[Column102]]/Table15[[#This Row],[Column2]]*0.1</f>
        <v>119.5</v>
      </c>
      <c r="J11">
        <v>4</v>
      </c>
      <c r="M11">
        <f>Table15[[#This Row],[Column5]]/Table15[[#This Row],[Column2]]*100</f>
        <v>0</v>
      </c>
      <c r="O11" t="e">
        <f>Table15[[#This Row],[Column102]]/Table15[[#This Row],[Column5]]*100</f>
        <v>#DIV/0!</v>
      </c>
      <c r="Q11">
        <v>478</v>
      </c>
      <c r="R11">
        <v>1</v>
      </c>
    </row>
    <row r="12" spans="4:18" x14ac:dyDescent="0.2">
      <c r="D12" s="7" t="s">
        <v>38</v>
      </c>
      <c r="E12" t="s">
        <v>149</v>
      </c>
      <c r="F12">
        <v>45.4</v>
      </c>
      <c r="G12">
        <v>1237</v>
      </c>
      <c r="H12" s="15">
        <f>Table15[[#This Row],[Column102]]/Table15[[#This Row],[Column2]]*0.1</f>
        <v>2.7246696035242293</v>
      </c>
      <c r="I12" s="15"/>
      <c r="J12">
        <v>15</v>
      </c>
      <c r="M12">
        <f>Table15[[#This Row],[Column5]]/Table15[[#This Row],[Column2]]*100</f>
        <v>0</v>
      </c>
      <c r="O12" t="e">
        <f>Table15[[#This Row],[Column102]]/Table15[[#This Row],[Column5]]*100</f>
        <v>#DIV/0!</v>
      </c>
      <c r="Q12">
        <v>1237</v>
      </c>
      <c r="R12">
        <v>2</v>
      </c>
    </row>
    <row r="13" spans="4:18" ht="34" x14ac:dyDescent="0.2">
      <c r="D13" s="9" t="s">
        <v>39</v>
      </c>
      <c r="E13" t="s">
        <v>150</v>
      </c>
      <c r="F13">
        <v>0.23</v>
      </c>
      <c r="G13">
        <v>38</v>
      </c>
      <c r="H13" s="15">
        <f>Table15[[#This Row],[Column102]]/Table15[[#This Row],[Column2]]*0.1</f>
        <v>16.521739130434781</v>
      </c>
      <c r="I13" s="15">
        <f>Table15[[#This Row],[Column102]]/Table15[[#This Row],[Column2]]*0.1</f>
        <v>16.521739130434781</v>
      </c>
      <c r="J13">
        <v>10</v>
      </c>
      <c r="M13">
        <f>Table15[[#This Row],[Column5]]/Table15[[#This Row],[Column2]]*100</f>
        <v>0</v>
      </c>
      <c r="O13" t="e">
        <f>Table15[[#This Row],[Column102]]/Table15[[#This Row],[Column5]]*100</f>
        <v>#DIV/0!</v>
      </c>
      <c r="Q13">
        <v>38</v>
      </c>
      <c r="R13">
        <v>3</v>
      </c>
    </row>
    <row r="14" spans="4:18" x14ac:dyDescent="0.2">
      <c r="D14" s="7" t="s">
        <v>40</v>
      </c>
      <c r="E14" t="s">
        <v>149</v>
      </c>
      <c r="F14">
        <v>1.6</v>
      </c>
      <c r="G14">
        <v>182</v>
      </c>
      <c r="H14" s="15">
        <f>Table15[[#This Row],[Column102]]/Table15[[#This Row],[Column2]]*0.1</f>
        <v>11.375</v>
      </c>
      <c r="I14" s="15">
        <f>Table15[[#This Row],[Column102]]/Table15[[#This Row],[Column2]]*0.1</f>
        <v>11.375</v>
      </c>
      <c r="J14">
        <v>12</v>
      </c>
      <c r="M14">
        <f>Table15[[#This Row],[Column5]]/Table15[[#This Row],[Column2]]*100</f>
        <v>0</v>
      </c>
      <c r="O14" t="e">
        <f>Table15[[#This Row],[Column102]]/Table15[[#This Row],[Column5]]*100</f>
        <v>#DIV/0!</v>
      </c>
      <c r="Q14">
        <v>182</v>
      </c>
      <c r="R14">
        <v>4</v>
      </c>
    </row>
    <row r="15" spans="4:18" x14ac:dyDescent="0.2">
      <c r="D15" s="4" t="s">
        <v>41</v>
      </c>
      <c r="E15" t="s">
        <v>151</v>
      </c>
      <c r="F15">
        <v>0.04</v>
      </c>
      <c r="G15">
        <v>177</v>
      </c>
      <c r="H15" s="15">
        <f>Table15[[#This Row],[Column102]]/Table15[[#This Row],[Column2]]*0.1</f>
        <v>442.5</v>
      </c>
      <c r="I15" s="15">
        <f>Table15[[#This Row],[Column102]]/Table15[[#This Row],[Column2]]*0.1</f>
        <v>442.5</v>
      </c>
      <c r="J15">
        <v>2</v>
      </c>
      <c r="M15">
        <f>Table15[[#This Row],[Column5]]/Table15[[#This Row],[Column2]]*100</f>
        <v>0</v>
      </c>
      <c r="O15" t="e">
        <f>Table15[[#This Row],[Column102]]/Table15[[#This Row],[Column5]]*100</f>
        <v>#DIV/0!</v>
      </c>
      <c r="Q15">
        <v>177</v>
      </c>
      <c r="R15">
        <v>5</v>
      </c>
    </row>
    <row r="16" spans="4:18" x14ac:dyDescent="0.2">
      <c r="D16" s="7" t="s">
        <v>42</v>
      </c>
      <c r="E16" t="s">
        <v>152</v>
      </c>
      <c r="F16">
        <v>0.97</v>
      </c>
      <c r="G16">
        <v>362</v>
      </c>
      <c r="H16" s="15">
        <f>Table15[[#This Row],[Column102]]/Table15[[#This Row],[Column2]]*0.1</f>
        <v>37.319587628865982</v>
      </c>
      <c r="I16" s="15">
        <f>Table15[[#This Row],[Column102]]/Table15[[#This Row],[Column2]]*0.1</f>
        <v>37.319587628865982</v>
      </c>
      <c r="J16">
        <v>8</v>
      </c>
      <c r="M16">
        <f>Table15[[#This Row],[Column5]]/Table15[[#This Row],[Column2]]*100</f>
        <v>0</v>
      </c>
      <c r="O16" t="e">
        <f>Table15[[#This Row],[Column102]]/Table15[[#This Row],[Column5]]*100</f>
        <v>#DIV/0!</v>
      </c>
      <c r="Q16">
        <v>362</v>
      </c>
      <c r="R16">
        <v>6</v>
      </c>
    </row>
    <row r="17" spans="4:18" x14ac:dyDescent="0.2">
      <c r="D17" s="4" t="s">
        <v>33</v>
      </c>
      <c r="E17">
        <v>1995</v>
      </c>
      <c r="F17">
        <v>0.7</v>
      </c>
      <c r="G17">
        <v>60</v>
      </c>
      <c r="H17" s="15">
        <f>Table15[[#This Row],[Column102]]/Table15[[#This Row],[Column2]]*0.1</f>
        <v>8.571428571428573</v>
      </c>
      <c r="I17" s="15">
        <f>Table15[[#This Row],[Column102]]/Table15[[#This Row],[Column2]]*0.1</f>
        <v>8.571428571428573</v>
      </c>
      <c r="J17">
        <v>13</v>
      </c>
      <c r="M17">
        <f>Table15[[#This Row],[Column5]]/Table15[[#This Row],[Column2]]*100</f>
        <v>0</v>
      </c>
      <c r="O17" t="e">
        <f>Table15[[#This Row],[Column102]]/Table15[[#This Row],[Column5]]*100</f>
        <v>#DIV/0!</v>
      </c>
      <c r="Q17">
        <v>60</v>
      </c>
      <c r="R17">
        <v>7</v>
      </c>
    </row>
    <row r="18" spans="4:18" x14ac:dyDescent="0.2">
      <c r="D18" s="7" t="s">
        <v>43</v>
      </c>
      <c r="E18" t="s">
        <v>153</v>
      </c>
      <c r="F18">
        <v>0.55000000000000004</v>
      </c>
      <c r="G18">
        <v>600</v>
      </c>
      <c r="H18" s="15">
        <f>Table15[[#This Row],[Column102]]/Table15[[#This Row],[Column2]]*0.1</f>
        <v>109.09090909090908</v>
      </c>
      <c r="I18" s="15">
        <f>Table15[[#This Row],[Column102]]/Table15[[#This Row],[Column2]]*0.1</f>
        <v>109.09090909090908</v>
      </c>
      <c r="J18">
        <v>5</v>
      </c>
      <c r="M18">
        <f>Table15[[#This Row],[Column5]]/Table15[[#This Row],[Column2]]*100</f>
        <v>0</v>
      </c>
      <c r="O18" t="e">
        <f>Table15[[#This Row],[Column102]]/Table15[[#This Row],[Column5]]*100</f>
        <v>#DIV/0!</v>
      </c>
      <c r="Q18">
        <v>600</v>
      </c>
      <c r="R18">
        <v>8</v>
      </c>
    </row>
    <row r="19" spans="4:18" x14ac:dyDescent="0.2">
      <c r="D19" s="4" t="s">
        <v>44</v>
      </c>
      <c r="E19" t="s">
        <v>153</v>
      </c>
      <c r="F19">
        <v>0.26</v>
      </c>
      <c r="G19">
        <v>268</v>
      </c>
      <c r="H19" s="15">
        <f>Table15[[#This Row],[Column102]]/Table15[[#This Row],[Column2]]*0.1</f>
        <v>103.07692307692308</v>
      </c>
      <c r="I19" s="15">
        <f>Table15[[#This Row],[Column102]]/Table15[[#This Row],[Column2]]*0.1</f>
        <v>103.07692307692308</v>
      </c>
      <c r="J19">
        <v>6</v>
      </c>
      <c r="M19">
        <f>Table15[[#This Row],[Column5]]/Table15[[#This Row],[Column2]]*100</f>
        <v>0</v>
      </c>
      <c r="O19" t="e">
        <f>Table15[[#This Row],[Column102]]/Table15[[#This Row],[Column5]]*100</f>
        <v>#DIV/0!</v>
      </c>
      <c r="Q19">
        <v>268</v>
      </c>
      <c r="R19">
        <v>9</v>
      </c>
    </row>
    <row r="20" spans="4:18" x14ac:dyDescent="0.2">
      <c r="D20" s="7" t="s">
        <v>45</v>
      </c>
      <c r="E20" t="s">
        <v>149</v>
      </c>
      <c r="F20">
        <v>3.4</v>
      </c>
      <c r="G20">
        <v>1594</v>
      </c>
      <c r="H20" s="15">
        <f>Table15[[#This Row],[Column102]]/Table15[[#This Row],[Column2]]*0.1</f>
        <v>46.882352941176471</v>
      </c>
      <c r="I20" s="15">
        <f>Table15[[#This Row],[Column102]]/Table15[[#This Row],[Column2]]*0.1</f>
        <v>46.882352941176471</v>
      </c>
      <c r="J20">
        <v>7</v>
      </c>
      <c r="M20">
        <f>Table15[[#This Row],[Column5]]/Table15[[#This Row],[Column2]]*100</f>
        <v>0</v>
      </c>
      <c r="O20" t="e">
        <f>Table15[[#This Row],[Column102]]/Table15[[#This Row],[Column5]]*100</f>
        <v>#DIV/0!</v>
      </c>
      <c r="Q20">
        <v>1594</v>
      </c>
      <c r="R20">
        <v>10</v>
      </c>
    </row>
    <row r="21" spans="4:18" x14ac:dyDescent="0.2">
      <c r="D21" s="4" t="s">
        <v>46</v>
      </c>
      <c r="E21">
        <v>1995</v>
      </c>
      <c r="F21">
        <v>1.4</v>
      </c>
      <c r="G21">
        <v>42</v>
      </c>
      <c r="H21" s="15">
        <f>Table15[[#This Row],[Column102]]/Table15[[#This Row],[Column2]]*0.1</f>
        <v>3.0000000000000004</v>
      </c>
      <c r="I21" s="15">
        <f>Table15[[#This Row],[Column102]]/Table15[[#This Row],[Column2]]*0.1</f>
        <v>3.0000000000000004</v>
      </c>
      <c r="J21">
        <v>14</v>
      </c>
      <c r="M21">
        <f>Table15[[#This Row],[Column5]]/Table15[[#This Row],[Column2]]*100</f>
        <v>0</v>
      </c>
      <c r="O21" t="e">
        <f>Table15[[#This Row],[Column102]]/Table15[[#This Row],[Column5]]*100</f>
        <v>#DIV/0!</v>
      </c>
      <c r="Q21">
        <v>42</v>
      </c>
      <c r="R21">
        <v>11</v>
      </c>
    </row>
    <row r="22" spans="4:18" x14ac:dyDescent="0.2">
      <c r="D22" s="7" t="s">
        <v>47</v>
      </c>
      <c r="E22">
        <v>1995</v>
      </c>
      <c r="F22">
        <v>1</v>
      </c>
      <c r="G22">
        <v>138</v>
      </c>
      <c r="H22" s="15">
        <f>Table15[[#This Row],[Column102]]/Table15[[#This Row],[Column2]]*0.1</f>
        <v>13.8</v>
      </c>
      <c r="I22" s="15">
        <f>Table15[[#This Row],[Column102]]/Table15[[#This Row],[Column2]]*0.1</f>
        <v>13.8</v>
      </c>
      <c r="J22">
        <v>11</v>
      </c>
      <c r="M22">
        <f>Table15[[#This Row],[Column5]]/Table15[[#This Row],[Column2]]*100</f>
        <v>0</v>
      </c>
      <c r="O22" t="e">
        <f>Table15[[#This Row],[Column102]]/Table15[[#This Row],[Column5]]*100</f>
        <v>#DIV/0!</v>
      </c>
      <c r="Q22">
        <v>138</v>
      </c>
      <c r="R22">
        <v>12</v>
      </c>
    </row>
    <row r="23" spans="4:18" x14ac:dyDescent="0.2">
      <c r="D23" s="4" t="s">
        <v>48</v>
      </c>
      <c r="E23" t="s">
        <v>153</v>
      </c>
      <c r="F23">
        <v>0.3</v>
      </c>
      <c r="G23">
        <v>713</v>
      </c>
      <c r="H23" s="15">
        <f>Table15[[#This Row],[Column102]]/Table15[[#This Row],[Column2]]*0.1</f>
        <v>237.66666666666671</v>
      </c>
      <c r="I23" s="15">
        <f>Table15[[#This Row],[Column102]]/Table15[[#This Row],[Column2]]*0.1</f>
        <v>237.66666666666671</v>
      </c>
      <c r="J23">
        <v>3</v>
      </c>
      <c r="M23">
        <f>Table15[[#This Row],[Column5]]/Table15[[#This Row],[Column2]]*100</f>
        <v>0</v>
      </c>
      <c r="O23" t="e">
        <f>Table15[[#This Row],[Column102]]/Table15[[#This Row],[Column5]]*100</f>
        <v>#DIV/0!</v>
      </c>
      <c r="Q23">
        <v>713</v>
      </c>
      <c r="R23">
        <v>13</v>
      </c>
    </row>
    <row r="24" spans="4:18" x14ac:dyDescent="0.2">
      <c r="D24" s="7" t="s">
        <v>37</v>
      </c>
      <c r="E24" t="s">
        <v>154</v>
      </c>
      <c r="F24">
        <v>1.9</v>
      </c>
      <c r="G24">
        <v>370</v>
      </c>
      <c r="H24" s="15">
        <f>Table15[[#This Row],[Column102]]/Table15[[#This Row],[Column2]]*0.1</f>
        <v>19.473684210526319</v>
      </c>
      <c r="I24" s="15">
        <f>Table15[[#This Row],[Column102]]/Table15[[#This Row],[Column2]]*0.1</f>
        <v>19.473684210526319</v>
      </c>
      <c r="J24">
        <v>9</v>
      </c>
      <c r="M24">
        <f>Table15[[#This Row],[Column5]]/Table15[[#This Row],[Column2]]*100</f>
        <v>0</v>
      </c>
      <c r="O24" t="e">
        <f>Table15[[#This Row],[Column102]]/Table15[[#This Row],[Column5]]*100</f>
        <v>#DIV/0!</v>
      </c>
      <c r="Q24">
        <v>370</v>
      </c>
      <c r="R24">
        <v>14</v>
      </c>
    </row>
    <row r="25" spans="4:18" x14ac:dyDescent="0.2">
      <c r="D25" s="4" t="s">
        <v>35</v>
      </c>
      <c r="E25" t="s">
        <v>155</v>
      </c>
      <c r="F25">
        <v>0.13</v>
      </c>
      <c r="G25">
        <v>601</v>
      </c>
      <c r="H25" s="15">
        <f>Table15[[#This Row],[Column102]]/Table15[[#This Row],[Column2]]*0.1</f>
        <v>462.30769230769232</v>
      </c>
      <c r="I25" s="15"/>
      <c r="J25">
        <v>1</v>
      </c>
      <c r="M25">
        <f>Table15[[#This Row],[Column5]]/Table15[[#This Row],[Column2]]*100</f>
        <v>0</v>
      </c>
      <c r="O25" t="e">
        <f>Table15[[#This Row],[Column102]]/Table15[[#This Row],[Column5]]*100</f>
        <v>#DIV/0!</v>
      </c>
      <c r="Q25">
        <v>601</v>
      </c>
      <c r="R25">
        <v>15</v>
      </c>
    </row>
    <row r="26" spans="4:18" x14ac:dyDescent="0.2">
      <c r="H26" s="15"/>
      <c r="I26" s="16"/>
      <c r="M26" s="16" t="e">
        <f>Table15[[#This Row],[Column5]]/Table15[[#This Row],[Column2]]*100</f>
        <v>#DIV/0!</v>
      </c>
      <c r="O26" s="16" t="e">
        <f>Table15[[#This Row],[Column102]]/Table15[[#This Row],[Column5]]*100</f>
        <v>#DIV/0!</v>
      </c>
    </row>
    <row r="27" spans="4:18" x14ac:dyDescent="0.2">
      <c r="H27" s="16"/>
      <c r="I27" s="16"/>
      <c r="M27" s="16" t="e">
        <f>Table15[[#This Row],[Column5]]/Table15[[#This Row],[Column2]]*100</f>
        <v>#DIV/0!</v>
      </c>
      <c r="O27" s="16" t="e">
        <f>Table15[[#This Row],[Column102]]/Table15[[#This Row],[Column5]]*100</f>
        <v>#DIV/0!</v>
      </c>
    </row>
    <row r="28" spans="4:18" x14ac:dyDescent="0.2">
      <c r="H28" s="16" t="e">
        <f>Table15[[#This Row],[Column102]]/Table15[[#This Row],[Column2]]*0.1</f>
        <v>#DIV/0!</v>
      </c>
      <c r="I28" s="16" t="e">
        <f>Table15[[#This Row],[Column102]]/Table15[[#This Row],[Column2]]*0.1</f>
        <v>#DIV/0!</v>
      </c>
      <c r="M28" s="16" t="e">
        <f>Table15[[#This Row],[Column5]]/Table15[[#This Row],[Column2]]*100</f>
        <v>#DIV/0!</v>
      </c>
      <c r="O28" s="16" t="e">
        <f>Table15[[#This Row],[Column102]]/Table15[[#This Row],[Column5]]*100</f>
        <v>#DIV/0!</v>
      </c>
    </row>
    <row r="29" spans="4:18" x14ac:dyDescent="0.2">
      <c r="H29" s="16"/>
      <c r="I29" s="16"/>
      <c r="M29" s="16" t="e">
        <f>Table15[[#This Row],[Column5]]/Table15[[#This Row],[Column2]]*100</f>
        <v>#DIV/0!</v>
      </c>
      <c r="O29" s="16" t="e">
        <f>Table15[[#This Row],[Column102]]/Table15[[#This Row],[Column5]]*100</f>
        <v>#DIV/0!</v>
      </c>
    </row>
    <row r="30" spans="4:18" ht="51" x14ac:dyDescent="0.2">
      <c r="D30" s="1" t="s">
        <v>173</v>
      </c>
      <c r="H30" s="16">
        <v>108</v>
      </c>
      <c r="I30" s="16">
        <v>87</v>
      </c>
      <c r="M30" s="16" t="e">
        <f>Table15[[#This Row],[Column5]]/Table15[[#This Row],[Column2]]*100</f>
        <v>#DIV/0!</v>
      </c>
      <c r="O30" s="16" t="e">
        <f>Table15[[#This Row],[Column102]]/Table15[[#This Row],[Column5]]*100</f>
        <v>#DIV/0!</v>
      </c>
    </row>
    <row r="31" spans="4:18" ht="34" x14ac:dyDescent="0.2">
      <c r="D31" s="1" t="s">
        <v>162</v>
      </c>
      <c r="H31" s="15">
        <f>H11/H30*100</f>
        <v>110.64814814814814</v>
      </c>
      <c r="I31" s="15">
        <f>H11/I30*100</f>
        <v>137.35632183908046</v>
      </c>
      <c r="M31" s="16" t="e">
        <f>Table15[[#This Row],[Column5]]/Table15[[#This Row],[Column2]]*100</f>
        <v>#DIV/0!</v>
      </c>
      <c r="O31" s="16" t="e">
        <f>Table15[[#This Row],[Column102]]/Table15[[#This Row],[Column5]]*100</f>
        <v>#DIV/0!</v>
      </c>
    </row>
    <row r="32" spans="4:18" x14ac:dyDescent="0.2">
      <c r="H32" s="16"/>
      <c r="I32" s="16"/>
      <c r="M32" s="16" t="e">
        <f>Table15[[#This Row],[Column5]]/Table15[[#This Row],[Column2]]*100</f>
        <v>#DIV/0!</v>
      </c>
      <c r="O32" s="16" t="e">
        <f>Table15[[#This Row],[Column102]]/Table15[[#This Row],[Column5]]*100</f>
        <v>#DIV/0!</v>
      </c>
    </row>
    <row r="33" spans="5:18" x14ac:dyDescent="0.2">
      <c r="H33" s="16"/>
      <c r="I33" s="16"/>
      <c r="M33" s="16" t="e">
        <f>Table15[[#This Row],[Column5]]/Table15[[#This Row],[Column2]]*100</f>
        <v>#DIV/0!</v>
      </c>
      <c r="O33" s="16" t="e">
        <f>Table15[[#This Row],[Column102]]/Table15[[#This Row],[Column5]]*100</f>
        <v>#DIV/0!</v>
      </c>
    </row>
    <row r="34" spans="5:18" x14ac:dyDescent="0.2">
      <c r="E34" s="17"/>
      <c r="F34" s="17"/>
      <c r="G34" s="17"/>
      <c r="H34" s="19"/>
      <c r="I34" s="19"/>
      <c r="J34" s="17"/>
      <c r="K34" s="17"/>
      <c r="L34" s="17"/>
      <c r="M34" s="19" t="e">
        <f>Table15[[#This Row],[Column5]]/Table15[[#This Row],[Column2]]*100</f>
        <v>#DIV/0!</v>
      </c>
      <c r="N34" s="17"/>
      <c r="O34" s="19" t="e">
        <f>Table15[[#This Row],[Column102]]/Table15[[#This Row],[Column5]]*100</f>
        <v>#DIV/0!</v>
      </c>
      <c r="P34" s="17"/>
      <c r="Q34" s="17"/>
      <c r="R34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9:R33"/>
  <sheetViews>
    <sheetView topLeftCell="A8" workbookViewId="0">
      <selection activeCell="H11" sqref="H11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10" t="s">
        <v>23</v>
      </c>
      <c r="E11" t="s">
        <v>153</v>
      </c>
      <c r="F11">
        <v>0.78</v>
      </c>
      <c r="G11">
        <v>525</v>
      </c>
      <c r="H11" s="15">
        <f>Table156[[#This Row],[Column102]]/Table156[[#This Row],[Column2]]*0.1</f>
        <v>67.307692307692307</v>
      </c>
      <c r="I11" s="20"/>
      <c r="J11">
        <v>6</v>
      </c>
      <c r="M11">
        <f>Table156[[#This Row],[Column5]]/Table156[[#This Row],[Column2]]*100</f>
        <v>0</v>
      </c>
      <c r="O11" t="e">
        <f>Table156[[#This Row],[Column102]]/Table156[[#This Row],[Column5]]*100</f>
        <v>#DIV/0!</v>
      </c>
      <c r="Q11">
        <v>525</v>
      </c>
      <c r="R11" s="2">
        <v>1</v>
      </c>
    </row>
    <row r="12" spans="4:18" x14ac:dyDescent="0.2">
      <c r="D12" s="4" t="s">
        <v>38</v>
      </c>
      <c r="E12" t="s">
        <v>149</v>
      </c>
      <c r="F12">
        <v>45.4</v>
      </c>
      <c r="G12">
        <v>1260</v>
      </c>
      <c r="H12" s="15">
        <f>Table156[[#This Row],[Column102]]/Table156[[#This Row],[Column2]]*0.1</f>
        <v>2.7753303964757712</v>
      </c>
      <c r="I12" s="21">
        <v>3</v>
      </c>
      <c r="J12">
        <v>13</v>
      </c>
      <c r="M12">
        <f>Table156[[#This Row],[Column5]]/Table156[[#This Row],[Column2]]*100</f>
        <v>0</v>
      </c>
      <c r="O12" t="e">
        <f>Table156[[#This Row],[Column102]]/Table156[[#This Row],[Column5]]*100</f>
        <v>#DIV/0!</v>
      </c>
      <c r="Q12">
        <v>1260</v>
      </c>
      <c r="R12" s="3">
        <v>2</v>
      </c>
    </row>
    <row r="13" spans="4:18" x14ac:dyDescent="0.2">
      <c r="D13" s="7" t="s">
        <v>49</v>
      </c>
      <c r="E13">
        <v>1998</v>
      </c>
      <c r="F13">
        <v>0.83</v>
      </c>
      <c r="G13">
        <v>1786</v>
      </c>
      <c r="H13" s="15">
        <f>Table156[[#This Row],[Column102]]/Table156[[#This Row],[Column2]]*0.1</f>
        <v>215.18072289156626</v>
      </c>
      <c r="I13" s="20"/>
      <c r="J13">
        <v>1</v>
      </c>
      <c r="M13">
        <f>Table156[[#This Row],[Column5]]/Table156[[#This Row],[Column2]]*100</f>
        <v>0</v>
      </c>
      <c r="O13" t="e">
        <f>Table156[[#This Row],[Column102]]/Table156[[#This Row],[Column5]]*100</f>
        <v>#DIV/0!</v>
      </c>
      <c r="Q13">
        <v>1786</v>
      </c>
      <c r="R13" s="2">
        <v>3</v>
      </c>
    </row>
    <row r="14" spans="4:18" x14ac:dyDescent="0.2">
      <c r="D14" s="4" t="s">
        <v>33</v>
      </c>
      <c r="E14" t="s">
        <v>155</v>
      </c>
      <c r="F14">
        <v>0.7</v>
      </c>
      <c r="G14">
        <v>78</v>
      </c>
      <c r="H14" s="15">
        <f>Table156[[#This Row],[Column102]]/Table156[[#This Row],[Column2]]*0.1</f>
        <v>11.142857142857144</v>
      </c>
      <c r="I14" s="21">
        <v>11</v>
      </c>
      <c r="J14">
        <v>11</v>
      </c>
      <c r="M14">
        <f>Table156[[#This Row],[Column5]]/Table156[[#This Row],[Column2]]*100</f>
        <v>0</v>
      </c>
      <c r="O14" t="e">
        <f>Table156[[#This Row],[Column102]]/Table156[[#This Row],[Column5]]*100</f>
        <v>#DIV/0!</v>
      </c>
      <c r="Q14">
        <v>78</v>
      </c>
      <c r="R14" s="3">
        <v>4</v>
      </c>
    </row>
    <row r="15" spans="4:18" x14ac:dyDescent="0.2">
      <c r="D15" s="7" t="s">
        <v>43</v>
      </c>
      <c r="E15" t="s">
        <v>153</v>
      </c>
      <c r="F15">
        <v>0.55000000000000004</v>
      </c>
      <c r="G15">
        <v>639</v>
      </c>
      <c r="H15" s="15">
        <f>Table156[[#This Row],[Column102]]/Table156[[#This Row],[Column2]]*0.1</f>
        <v>116.18181818181819</v>
      </c>
      <c r="I15" s="20">
        <v>116</v>
      </c>
      <c r="J15">
        <v>4</v>
      </c>
      <c r="M15">
        <f>Table156[[#This Row],[Column5]]/Table156[[#This Row],[Column2]]*100</f>
        <v>0</v>
      </c>
      <c r="O15" t="e">
        <f>Table156[[#This Row],[Column102]]/Table156[[#This Row],[Column5]]*100</f>
        <v>#DIV/0!</v>
      </c>
      <c r="Q15">
        <v>639</v>
      </c>
      <c r="R15" s="2">
        <v>5</v>
      </c>
    </row>
    <row r="16" spans="4:18" x14ac:dyDescent="0.2">
      <c r="D16" s="11" t="s">
        <v>50</v>
      </c>
      <c r="F16" t="s">
        <v>120</v>
      </c>
      <c r="G16">
        <v>1638</v>
      </c>
      <c r="H16" s="15"/>
      <c r="I16" s="21"/>
      <c r="J16">
        <v>14</v>
      </c>
      <c r="M16" t="e">
        <f>Table156[[#This Row],[Column5]]/Table156[[#This Row],[Column2]]*100</f>
        <v>#VALUE!</v>
      </c>
      <c r="O16" t="e">
        <f>Table156[[#This Row],[Column102]]/Table156[[#This Row],[Column5]]*100</f>
        <v>#DIV/0!</v>
      </c>
      <c r="Q16">
        <v>1638</v>
      </c>
      <c r="R16" s="3">
        <v>6</v>
      </c>
    </row>
    <row r="17" spans="3:18" x14ac:dyDescent="0.2">
      <c r="D17" s="7" t="s">
        <v>40</v>
      </c>
      <c r="E17" t="s">
        <v>153</v>
      </c>
      <c r="F17">
        <v>1.3</v>
      </c>
      <c r="G17">
        <v>148</v>
      </c>
      <c r="H17" s="15">
        <f>Table156[[#This Row],[Column102]]/Table156[[#This Row],[Column2]]*0.1</f>
        <v>11.384615384615385</v>
      </c>
      <c r="I17" s="20">
        <v>11</v>
      </c>
      <c r="J17">
        <v>10</v>
      </c>
      <c r="M17">
        <f>Table156[[#This Row],[Column5]]/Table156[[#This Row],[Column2]]*100</f>
        <v>0</v>
      </c>
      <c r="O17" t="e">
        <f>Table156[[#This Row],[Column102]]/Table156[[#This Row],[Column5]]*100</f>
        <v>#DIV/0!</v>
      </c>
      <c r="Q17">
        <v>148</v>
      </c>
      <c r="R17" s="2">
        <v>7</v>
      </c>
    </row>
    <row r="18" spans="3:18" x14ac:dyDescent="0.2">
      <c r="D18" s="4" t="s">
        <v>47</v>
      </c>
      <c r="E18" t="s">
        <v>155</v>
      </c>
      <c r="F18">
        <v>1</v>
      </c>
      <c r="G18">
        <v>192</v>
      </c>
      <c r="H18" s="15">
        <f>Table156[[#This Row],[Column102]]/Table156[[#This Row],[Column2]]*0.1</f>
        <v>19.200000000000003</v>
      </c>
      <c r="I18" s="21">
        <v>19</v>
      </c>
      <c r="J18">
        <v>8</v>
      </c>
      <c r="M18">
        <f>Table156[[#This Row],[Column5]]/Table156[[#This Row],[Column2]]*100</f>
        <v>0</v>
      </c>
      <c r="O18" t="e">
        <f>Table156[[#This Row],[Column102]]/Table156[[#This Row],[Column5]]*100</f>
        <v>#DIV/0!</v>
      </c>
      <c r="Q18">
        <v>192</v>
      </c>
      <c r="R18" s="3">
        <v>8</v>
      </c>
    </row>
    <row r="19" spans="3:18" x14ac:dyDescent="0.2">
      <c r="D19" s="12" t="s">
        <v>41</v>
      </c>
      <c r="F19" t="s">
        <v>120</v>
      </c>
      <c r="G19">
        <v>121</v>
      </c>
      <c r="H19" s="15"/>
      <c r="I19" s="20"/>
      <c r="J19">
        <v>15</v>
      </c>
      <c r="M19" t="e">
        <f>Table156[[#This Row],[Column5]]/Table156[[#This Row],[Column2]]*100</f>
        <v>#VALUE!</v>
      </c>
      <c r="O19" t="e">
        <f>Table156[[#This Row],[Column102]]/Table156[[#This Row],[Column5]]*100</f>
        <v>#DIV/0!</v>
      </c>
      <c r="Q19">
        <v>121</v>
      </c>
      <c r="R19" s="2">
        <v>9</v>
      </c>
    </row>
    <row r="20" spans="3:18" x14ac:dyDescent="0.2">
      <c r="D20" s="4" t="s">
        <v>30</v>
      </c>
      <c r="E20">
        <v>2000</v>
      </c>
      <c r="F20">
        <v>0.152</v>
      </c>
      <c r="G20">
        <v>191</v>
      </c>
      <c r="H20" s="15">
        <f>Table156[[#This Row],[Column102]]/Table156[[#This Row],[Column2]]*0.1</f>
        <v>125.65789473684211</v>
      </c>
      <c r="I20" s="21">
        <v>126</v>
      </c>
      <c r="J20">
        <v>3</v>
      </c>
      <c r="M20">
        <f>Table156[[#This Row],[Column5]]/Table156[[#This Row],[Column2]]*100</f>
        <v>0</v>
      </c>
      <c r="O20" t="e">
        <f>Table156[[#This Row],[Column102]]/Table156[[#This Row],[Column5]]*100</f>
        <v>#DIV/0!</v>
      </c>
      <c r="Q20">
        <v>191</v>
      </c>
      <c r="R20" s="3">
        <v>10</v>
      </c>
    </row>
    <row r="21" spans="3:18" x14ac:dyDescent="0.2">
      <c r="D21" s="7" t="s">
        <v>44</v>
      </c>
      <c r="E21" t="s">
        <v>153</v>
      </c>
      <c r="F21">
        <v>0.26</v>
      </c>
      <c r="G21">
        <v>225</v>
      </c>
      <c r="H21" s="15">
        <f>Table156[[#This Row],[Column102]]/Table156[[#This Row],[Column2]]*0.1</f>
        <v>86.538461538461547</v>
      </c>
      <c r="I21" s="20">
        <v>87</v>
      </c>
      <c r="J21">
        <v>5</v>
      </c>
      <c r="M21">
        <f>Table156[[#This Row],[Column5]]/Table156[[#This Row],[Column2]]*100</f>
        <v>0</v>
      </c>
      <c r="O21" t="e">
        <f>Table156[[#This Row],[Column102]]/Table156[[#This Row],[Column5]]*100</f>
        <v>#DIV/0!</v>
      </c>
      <c r="Q21">
        <v>225</v>
      </c>
      <c r="R21" s="2">
        <v>11</v>
      </c>
    </row>
    <row r="22" spans="3:18" x14ac:dyDescent="0.2">
      <c r="D22" s="4" t="s">
        <v>51</v>
      </c>
      <c r="E22">
        <v>1995</v>
      </c>
      <c r="F22">
        <v>3.7</v>
      </c>
      <c r="G22">
        <v>711</v>
      </c>
      <c r="H22" s="15">
        <f>Table156[[#This Row],[Column102]]/Table156[[#This Row],[Column2]]*0.1</f>
        <v>19.216216216216218</v>
      </c>
      <c r="I22" s="21">
        <v>19</v>
      </c>
      <c r="J22">
        <v>7</v>
      </c>
      <c r="M22">
        <f>Table156[[#This Row],[Column5]]/Table156[[#This Row],[Column2]]*100</f>
        <v>0</v>
      </c>
      <c r="O22" t="e">
        <f>Table156[[#This Row],[Column102]]/Table156[[#This Row],[Column5]]*100</f>
        <v>#DIV/0!</v>
      </c>
      <c r="Q22">
        <v>711</v>
      </c>
      <c r="R22" s="3">
        <v>12</v>
      </c>
    </row>
    <row r="23" spans="3:18" x14ac:dyDescent="0.2">
      <c r="D23" s="7" t="s">
        <v>48</v>
      </c>
      <c r="E23" t="s">
        <v>153</v>
      </c>
      <c r="F23">
        <v>0.32</v>
      </c>
      <c r="G23">
        <v>477</v>
      </c>
      <c r="H23" s="15">
        <f>Table156[[#This Row],[Column102]]/Table156[[#This Row],[Column2]]*0.1</f>
        <v>149.0625</v>
      </c>
      <c r="I23" s="20">
        <v>149</v>
      </c>
      <c r="J23">
        <v>2</v>
      </c>
      <c r="M23">
        <f>Table156[[#This Row],[Column5]]/Table156[[#This Row],[Column2]]*100</f>
        <v>0</v>
      </c>
      <c r="O23" t="e">
        <f>Table156[[#This Row],[Column102]]/Table156[[#This Row],[Column5]]*100</f>
        <v>#DIV/0!</v>
      </c>
      <c r="Q23">
        <v>477</v>
      </c>
      <c r="R23" s="2">
        <v>13</v>
      </c>
    </row>
    <row r="24" spans="3:18" x14ac:dyDescent="0.2">
      <c r="D24" s="4" t="s">
        <v>52</v>
      </c>
      <c r="E24">
        <v>1997</v>
      </c>
      <c r="F24">
        <v>1.6</v>
      </c>
      <c r="G24">
        <v>49</v>
      </c>
      <c r="H24" s="15">
        <f>Table156[[#This Row],[Column102]]/Table156[[#This Row],[Column2]]*0.1</f>
        <v>3.0625</v>
      </c>
      <c r="I24" s="21"/>
      <c r="J24">
        <v>12</v>
      </c>
      <c r="M24">
        <f>Table156[[#This Row],[Column5]]/Table156[[#This Row],[Column2]]*100</f>
        <v>0</v>
      </c>
      <c r="O24" t="e">
        <f>Table156[[#This Row],[Column102]]/Table156[[#This Row],[Column5]]*100</f>
        <v>#DIV/0!</v>
      </c>
      <c r="Q24">
        <v>49</v>
      </c>
      <c r="R24" s="3">
        <v>14</v>
      </c>
    </row>
    <row r="25" spans="3:18" x14ac:dyDescent="0.2">
      <c r="D25" s="7" t="s">
        <v>53</v>
      </c>
      <c r="E25">
        <v>1997</v>
      </c>
      <c r="F25">
        <v>1.3</v>
      </c>
      <c r="G25">
        <v>217</v>
      </c>
      <c r="H25" s="15">
        <f>Table156[[#This Row],[Column102]]/Table156[[#This Row],[Column2]]*0.1</f>
        <v>16.69230769230769</v>
      </c>
      <c r="I25" s="20">
        <v>17</v>
      </c>
      <c r="J25">
        <v>9</v>
      </c>
      <c r="M25">
        <f>Table156[[#This Row],[Column5]]/Table156[[#This Row],[Column2]]*100</f>
        <v>0</v>
      </c>
      <c r="O25" t="e">
        <f>Table156[[#This Row],[Column102]]/Table156[[#This Row],[Column5]]*100</f>
        <v>#DIV/0!</v>
      </c>
      <c r="Q25">
        <v>217</v>
      </c>
      <c r="R25" s="2">
        <v>15</v>
      </c>
    </row>
    <row r="26" spans="3:18" x14ac:dyDescent="0.2">
      <c r="C26" s="8"/>
      <c r="H26" s="15">
        <f>AVERAGE(H12:H25)</f>
        <v>64.674602015096696</v>
      </c>
      <c r="I26" s="15">
        <f>AVERAGE(I11:I25)</f>
        <v>55.8</v>
      </c>
      <c r="M26" s="16" t="e">
        <f>Table156[[#This Row],[Column5]]/Table156[[#This Row],[Column2]]*100</f>
        <v>#DIV/0!</v>
      </c>
      <c r="O26" s="16" t="e">
        <f>Table156[[#This Row],[Column102]]/Table156[[#This Row],[Column5]]*100</f>
        <v>#DIV/0!</v>
      </c>
    </row>
    <row r="27" spans="3:18" x14ac:dyDescent="0.2">
      <c r="H27" s="15"/>
      <c r="I27" s="15"/>
      <c r="M27" s="16" t="e">
        <f>Table156[[#This Row],[Column5]]/Table156[[#This Row],[Column2]]*100</f>
        <v>#DIV/0!</v>
      </c>
      <c r="O27" s="16" t="e">
        <f>Table156[[#This Row],[Column102]]/Table156[[#This Row],[Column5]]*100</f>
        <v>#DIV/0!</v>
      </c>
    </row>
    <row r="28" spans="3:18" x14ac:dyDescent="0.2">
      <c r="H28" s="15"/>
      <c r="I28" s="15"/>
      <c r="M28" s="16" t="e">
        <f>Table156[[#This Row],[Column5]]/Table156[[#This Row],[Column2]]*100</f>
        <v>#DIV/0!</v>
      </c>
      <c r="O28" s="16" t="e">
        <f>Table156[[#This Row],[Column102]]/Table156[[#This Row],[Column5]]*100</f>
        <v>#DIV/0!</v>
      </c>
    </row>
    <row r="29" spans="3:18" ht="51" x14ac:dyDescent="0.2">
      <c r="D29" s="1" t="s">
        <v>173</v>
      </c>
      <c r="H29" s="15">
        <v>65</v>
      </c>
      <c r="I29" s="15">
        <v>56</v>
      </c>
      <c r="M29" s="16" t="e">
        <f>Table156[[#This Row],[Column5]]/Table156[[#This Row],[Column2]]*100</f>
        <v>#DIV/0!</v>
      </c>
      <c r="O29" s="16" t="e">
        <f>Table156[[#This Row],[Column102]]/Table156[[#This Row],[Column5]]*100</f>
        <v>#DIV/0!</v>
      </c>
    </row>
    <row r="30" spans="3:18" ht="34" x14ac:dyDescent="0.2">
      <c r="D30" s="1" t="s">
        <v>162</v>
      </c>
      <c r="H30" s="15">
        <f>H11/H29*100</f>
        <v>103.55029585798816</v>
      </c>
      <c r="I30" s="15">
        <f>H11/I29*100</f>
        <v>120.19230769230769</v>
      </c>
      <c r="M30" s="16" t="e">
        <f>Table156[[#This Row],[Column5]]/Table156[[#This Row],[Column2]]*100</f>
        <v>#DIV/0!</v>
      </c>
      <c r="O30" s="16" t="e">
        <f>Table156[[#This Row],[Column102]]/Table156[[#This Row],[Column5]]*100</f>
        <v>#DIV/0!</v>
      </c>
    </row>
    <row r="31" spans="3:18" x14ac:dyDescent="0.2">
      <c r="H31" s="15"/>
      <c r="I31" s="15"/>
      <c r="M31" s="16" t="e">
        <f>Table156[[#This Row],[Column5]]/Table156[[#This Row],[Column2]]*100</f>
        <v>#DIV/0!</v>
      </c>
      <c r="O31" s="16" t="e">
        <f>Table156[[#This Row],[Column102]]/Table156[[#This Row],[Column5]]*100</f>
        <v>#DIV/0!</v>
      </c>
    </row>
    <row r="32" spans="3:18" x14ac:dyDescent="0.2">
      <c r="H32" s="15"/>
      <c r="I32" s="15"/>
      <c r="M32" s="16" t="e">
        <f>Table156[[#This Row],[Column5]]/Table156[[#This Row],[Column2]]*100</f>
        <v>#DIV/0!</v>
      </c>
      <c r="O32" s="16" t="e">
        <f>Table156[[#This Row],[Column102]]/Table156[[#This Row],[Column5]]*100</f>
        <v>#DIV/0!</v>
      </c>
    </row>
    <row r="33" spans="5:18" x14ac:dyDescent="0.2">
      <c r="E33" s="17"/>
      <c r="F33" s="17"/>
      <c r="G33" s="17"/>
      <c r="H33" s="18"/>
      <c r="I33" s="18"/>
      <c r="J33" s="17"/>
      <c r="K33" s="17"/>
      <c r="L33" s="17"/>
      <c r="M33" s="19" t="e">
        <f>Table156[[#This Row],[Column5]]/Table156[[#This Row],[Column2]]*100</f>
        <v>#DIV/0!</v>
      </c>
      <c r="N33" s="17"/>
      <c r="O33" s="19" t="e">
        <f>Table156[[#This Row],[Column102]]/Table156[[#This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6:R33"/>
  <sheetViews>
    <sheetView topLeftCell="A6" workbookViewId="0">
      <selection activeCell="E7" sqref="E7"/>
    </sheetView>
  </sheetViews>
  <sheetFormatPr baseColWidth="10" defaultRowHeight="16" x14ac:dyDescent="0.2"/>
  <sheetData>
    <row r="6" spans="4:18" x14ac:dyDescent="0.2">
      <c r="E6" t="s">
        <v>211</v>
      </c>
    </row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1" t="s">
        <v>55</v>
      </c>
      <c r="E11">
        <v>1998</v>
      </c>
      <c r="F11">
        <v>0.78</v>
      </c>
      <c r="G11">
        <v>593</v>
      </c>
      <c r="H11" s="15">
        <f>Table1567891122[[#This Row],[Column102]]/Table1567891122[[#This Row],[Column2]]*0.1</f>
        <v>76.025641025641036</v>
      </c>
      <c r="I11" s="15"/>
      <c r="J11">
        <v>4</v>
      </c>
      <c r="M11">
        <f>Table1567891122[[#This Row],[Column5]]/Table1567891122[[#This Row],[Column2]]*100</f>
        <v>0</v>
      </c>
      <c r="O11" t="e">
        <f>Table1567891122[[#This Row],[Column102]]/Table1567891122[[#This Row],[Column5]]*100</f>
        <v>#DIV/0!</v>
      </c>
      <c r="Q11">
        <v>593</v>
      </c>
      <c r="R11">
        <v>1</v>
      </c>
    </row>
    <row r="12" spans="4:18" ht="34" x14ac:dyDescent="0.2">
      <c r="D12" s="1" t="s">
        <v>56</v>
      </c>
      <c r="E12">
        <v>1998</v>
      </c>
      <c r="F12">
        <v>0.32</v>
      </c>
      <c r="G12">
        <v>124</v>
      </c>
      <c r="H12" s="15">
        <f>Table1567891122[[#This Row],[Column102]]/Table1567891122[[#This Row],[Column2]]*0.1</f>
        <v>38.75</v>
      </c>
      <c r="I12" s="15">
        <f>Table1567891122[[#This Row],[Column102]]/Table1567891122[[#This Row],[Column2]]*0.1</f>
        <v>38.75</v>
      </c>
      <c r="J12">
        <v>5</v>
      </c>
      <c r="M12">
        <f>Table1567891122[[#This Row],[Column5]]/Table1567891122[[#This Row],[Column2]]*100</f>
        <v>0</v>
      </c>
      <c r="O12" t="e">
        <f>Table1567891122[[#This Row],[Column102]]/Table1567891122[[#This Row],[Column5]]*100</f>
        <v>#DIV/0!</v>
      </c>
      <c r="Q12">
        <v>124</v>
      </c>
      <c r="R12">
        <v>2</v>
      </c>
    </row>
    <row r="13" spans="4:18" ht="17" x14ac:dyDescent="0.2">
      <c r="D13" s="1" t="s">
        <v>33</v>
      </c>
      <c r="E13" t="s">
        <v>152</v>
      </c>
      <c r="F13">
        <v>0.33</v>
      </c>
      <c r="G13">
        <v>103</v>
      </c>
      <c r="H13" s="15">
        <f>Table1567891122[[#This Row],[Column102]]/Table1567891122[[#This Row],[Column2]]*0.1</f>
        <v>31.212121212121215</v>
      </c>
      <c r="I13" s="15">
        <f>Table1567891122[[#This Row],[Column102]]/Table1567891122[[#This Row],[Column2]]*0.1</f>
        <v>31.212121212121215</v>
      </c>
      <c r="J13">
        <v>6</v>
      </c>
      <c r="M13">
        <f>Table1567891122[[#This Row],[Column5]]/Table1567891122[[#This Row],[Column2]]*100</f>
        <v>0</v>
      </c>
      <c r="O13" t="e">
        <f>Table1567891122[[#This Row],[Column102]]/Table1567891122[[#This Row],[Column5]]*100</f>
        <v>#DIV/0!</v>
      </c>
      <c r="Q13">
        <v>103</v>
      </c>
      <c r="R13">
        <v>3</v>
      </c>
    </row>
    <row r="14" spans="4:18" x14ac:dyDescent="0.2">
      <c r="D14" t="s">
        <v>38</v>
      </c>
      <c r="E14">
        <v>1997</v>
      </c>
      <c r="F14">
        <v>53</v>
      </c>
      <c r="G14">
        <v>2217</v>
      </c>
      <c r="H14" s="15">
        <f>Table1567891122[[#This Row],[Column102]]/Table1567891122[[#This Row],[Column2]]*0.1</f>
        <v>4.1830188679245284</v>
      </c>
      <c r="I14" s="15"/>
      <c r="J14">
        <v>13</v>
      </c>
      <c r="M14">
        <f>Table1567891122[[#This Row],[Column5]]/Table1567891122[[#This Row],[Column2]]*100</f>
        <v>0</v>
      </c>
      <c r="O14" t="e">
        <f>Table1567891122[[#This Row],[Column102]]/Table1567891122[[#This Row],[Column5]]*100</f>
        <v>#DIV/0!</v>
      </c>
      <c r="Q14">
        <v>2217</v>
      </c>
      <c r="R14">
        <v>4</v>
      </c>
    </row>
    <row r="15" spans="4:18" x14ac:dyDescent="0.2">
      <c r="D15" t="s">
        <v>57</v>
      </c>
      <c r="E15">
        <v>998</v>
      </c>
      <c r="F15">
        <v>1</v>
      </c>
      <c r="G15">
        <v>267</v>
      </c>
      <c r="H15" s="15">
        <f>Table1567891122[[#This Row],[Column102]]/Table1567891122[[#This Row],[Column2]]*0.1</f>
        <v>26.700000000000003</v>
      </c>
      <c r="I15" s="15">
        <f>Table1567891122[[#This Row],[Column102]]/Table1567891122[[#This Row],[Column2]]*0.1</f>
        <v>26.700000000000003</v>
      </c>
      <c r="J15">
        <v>7</v>
      </c>
      <c r="M15">
        <f>Table1567891122[[#This Row],[Column5]]/Table1567891122[[#This Row],[Column2]]*100</f>
        <v>0</v>
      </c>
      <c r="O15" t="e">
        <f>Table1567891122[[#This Row],[Column102]]/Table1567891122[[#This Row],[Column5]]*100</f>
        <v>#DIV/0!</v>
      </c>
      <c r="Q15">
        <v>267</v>
      </c>
      <c r="R15">
        <v>5</v>
      </c>
    </row>
    <row r="16" spans="4:18" x14ac:dyDescent="0.2">
      <c r="D16" t="s">
        <v>43</v>
      </c>
      <c r="E16">
        <v>1997</v>
      </c>
      <c r="F16">
        <v>0.55000000000000004</v>
      </c>
      <c r="G16">
        <v>954</v>
      </c>
      <c r="H16" s="15">
        <f>Table1567891122[[#This Row],[Column102]]/Table1567891122[[#This Row],[Column2]]*0.1</f>
        <v>173.45454545454547</v>
      </c>
      <c r="I16" s="15">
        <f>Table1567891122[[#This Row],[Column102]]/Table1567891122[[#This Row],[Column2]]*0.1</f>
        <v>173.45454545454547</v>
      </c>
      <c r="J16">
        <v>3</v>
      </c>
      <c r="M16">
        <f>Table1567891122[[#This Row],[Column5]]/Table1567891122[[#This Row],[Column2]]*100</f>
        <v>0</v>
      </c>
      <c r="O16" t="e">
        <f>Table1567891122[[#This Row],[Column102]]/Table1567891122[[#This Row],[Column5]]*100</f>
        <v>#DIV/0!</v>
      </c>
      <c r="Q16">
        <v>954</v>
      </c>
      <c r="R16">
        <v>6</v>
      </c>
    </row>
    <row r="17" spans="4:18" x14ac:dyDescent="0.2">
      <c r="D17" t="s">
        <v>58</v>
      </c>
      <c r="F17" t="s">
        <v>120</v>
      </c>
      <c r="G17">
        <v>806</v>
      </c>
      <c r="H17" s="15"/>
      <c r="I17" s="15"/>
      <c r="J17">
        <v>14</v>
      </c>
      <c r="M17" t="e">
        <f>Table1567891122[[#This Row],[Column5]]/Table1567891122[[#This Row],[Column2]]*100</f>
        <v>#VALUE!</v>
      </c>
      <c r="O17" t="e">
        <f>Table1567891122[[#This Row],[Column102]]/Table1567891122[[#This Row],[Column5]]*100</f>
        <v>#DIV/0!</v>
      </c>
      <c r="Q17">
        <v>806</v>
      </c>
      <c r="R17">
        <v>7</v>
      </c>
    </row>
    <row r="18" spans="4:18" x14ac:dyDescent="0.2">
      <c r="D18" t="s">
        <v>44</v>
      </c>
      <c r="E18">
        <v>2001</v>
      </c>
      <c r="F18">
        <v>0.26500000000000001</v>
      </c>
      <c r="G18">
        <v>497</v>
      </c>
      <c r="H18" s="15">
        <f>Table1567891122[[#This Row],[Column102]]/Table1567891122[[#This Row],[Column2]]*0.1</f>
        <v>187.54716981132074</v>
      </c>
      <c r="I18" s="15">
        <f>Table1567891122[[#This Row],[Column102]]/Table1567891122[[#This Row],[Column2]]*0.1</f>
        <v>187.54716981132074</v>
      </c>
      <c r="J18">
        <v>2</v>
      </c>
      <c r="M18">
        <f>Table1567891122[[#This Row],[Column5]]/Table1567891122[[#This Row],[Column2]]*100</f>
        <v>0</v>
      </c>
      <c r="O18" t="e">
        <f>Table1567891122[[#This Row],[Column102]]/Table1567891122[[#This Row],[Column5]]*100</f>
        <v>#DIV/0!</v>
      </c>
      <c r="Q18">
        <v>497</v>
      </c>
      <c r="R18">
        <v>8</v>
      </c>
    </row>
    <row r="19" spans="4:18" x14ac:dyDescent="0.2">
      <c r="D19" t="s">
        <v>46</v>
      </c>
      <c r="E19">
        <v>1997</v>
      </c>
      <c r="F19">
        <v>1.7</v>
      </c>
      <c r="G19">
        <v>78</v>
      </c>
      <c r="H19" s="15">
        <f>Table1567891122[[#This Row],[Column102]]/Table1567891122[[#This Row],[Column2]]*0.1</f>
        <v>4.5882352941176476</v>
      </c>
      <c r="I19" s="15">
        <f>Table1567891122[[#This Row],[Column102]]/Table1567891122[[#This Row],[Column2]]*0.1</f>
        <v>4.5882352941176476</v>
      </c>
      <c r="J19">
        <v>12</v>
      </c>
      <c r="M19">
        <f>Table1567891122[[#This Row],[Column5]]/Table1567891122[[#This Row],[Column2]]*100</f>
        <v>0</v>
      </c>
      <c r="O19" t="e">
        <f>Table1567891122[[#This Row],[Column102]]/Table1567891122[[#This Row],[Column5]]*100</f>
        <v>#DIV/0!</v>
      </c>
      <c r="Q19">
        <v>78</v>
      </c>
      <c r="R19">
        <v>9</v>
      </c>
    </row>
    <row r="20" spans="4:18" ht="34" x14ac:dyDescent="0.2">
      <c r="D20" s="1" t="s">
        <v>41</v>
      </c>
      <c r="F20" t="s">
        <v>120</v>
      </c>
      <c r="G20">
        <v>181</v>
      </c>
      <c r="H20" s="15"/>
      <c r="I20" s="15"/>
      <c r="J20">
        <v>15</v>
      </c>
      <c r="M20" t="e">
        <f>Table1567891122[[#This Row],[Column5]]/Table1567891122[[#This Row],[Column2]]*100</f>
        <v>#VALUE!</v>
      </c>
      <c r="O20" t="e">
        <f>Table1567891122[[#This Row],[Column102]]/Table1567891122[[#This Row],[Column5]]*100</f>
        <v>#DIV/0!</v>
      </c>
      <c r="Q20">
        <v>181</v>
      </c>
      <c r="R20">
        <v>10</v>
      </c>
    </row>
    <row r="21" spans="4:18" x14ac:dyDescent="0.2">
      <c r="D21" t="s">
        <v>48</v>
      </c>
      <c r="E21">
        <v>1998</v>
      </c>
      <c r="F21">
        <v>0.3</v>
      </c>
      <c r="G21">
        <v>675</v>
      </c>
      <c r="H21" s="15">
        <f>Table1567891122[[#This Row],[Column102]]/Table1567891122[[#This Row],[Column2]]*0.1</f>
        <v>225</v>
      </c>
      <c r="I21" s="15"/>
      <c r="J21">
        <v>1</v>
      </c>
      <c r="M21">
        <f>Table1567891122[[#This Row],[Column5]]/Table1567891122[[#This Row],[Column2]]*100</f>
        <v>0</v>
      </c>
      <c r="O21" t="e">
        <f>Table1567891122[[#This Row],[Column102]]/Table1567891122[[#This Row],[Column5]]*100</f>
        <v>#DIV/0!</v>
      </c>
      <c r="Q21">
        <v>675</v>
      </c>
      <c r="R21">
        <v>11</v>
      </c>
    </row>
    <row r="22" spans="4:18" x14ac:dyDescent="0.2">
      <c r="D22" t="s">
        <v>47</v>
      </c>
      <c r="E22">
        <v>1997</v>
      </c>
      <c r="F22">
        <v>1.2</v>
      </c>
      <c r="G22">
        <v>192</v>
      </c>
      <c r="H22" s="15">
        <f>Table1567891122[[#This Row],[Column102]]/Table1567891122[[#This Row],[Column2]]*0.1</f>
        <v>16</v>
      </c>
      <c r="I22" s="15">
        <f>Table1567891122[[#This Row],[Column102]]/Table1567891122[[#This Row],[Column2]]*0.1</f>
        <v>16</v>
      </c>
      <c r="J22">
        <v>10</v>
      </c>
      <c r="M22">
        <f>Table1567891122[[#This Row],[Column5]]/Table1567891122[[#This Row],[Column2]]*100</f>
        <v>0</v>
      </c>
      <c r="O22" t="e">
        <f>Table1567891122[[#This Row],[Column102]]/Table1567891122[[#This Row],[Column5]]*100</f>
        <v>#DIV/0!</v>
      </c>
      <c r="Q22">
        <v>192</v>
      </c>
      <c r="R22">
        <v>12</v>
      </c>
    </row>
    <row r="23" spans="4:18" x14ac:dyDescent="0.2">
      <c r="D23" t="s">
        <v>40</v>
      </c>
      <c r="E23">
        <v>1998</v>
      </c>
      <c r="F23">
        <v>1.3</v>
      </c>
      <c r="G23">
        <v>126</v>
      </c>
      <c r="H23" s="15">
        <f>Table1567891122[[#This Row],[Column102]]/Table1567891122[[#This Row],[Column2]]*0.1</f>
        <v>9.6923076923076934</v>
      </c>
      <c r="I23" s="15">
        <f>Table1567891122[[#This Row],[Column102]]/Table1567891122[[#This Row],[Column2]]*0.1</f>
        <v>9.6923076923076934</v>
      </c>
      <c r="J23">
        <v>11</v>
      </c>
      <c r="M23">
        <f>Table1567891122[[#This Row],[Column5]]/Table1567891122[[#This Row],[Column2]]*100</f>
        <v>0</v>
      </c>
      <c r="O23" t="e">
        <f>Table1567891122[[#This Row],[Column102]]/Table1567891122[[#This Row],[Column5]]*100</f>
        <v>#DIV/0!</v>
      </c>
      <c r="Q23">
        <v>126</v>
      </c>
      <c r="R23">
        <v>13</v>
      </c>
    </row>
    <row r="24" spans="4:18" x14ac:dyDescent="0.2">
      <c r="D24" t="s">
        <v>51</v>
      </c>
      <c r="E24" t="s">
        <v>156</v>
      </c>
      <c r="F24">
        <v>3.7</v>
      </c>
      <c r="G24">
        <v>850</v>
      </c>
      <c r="H24" s="15">
        <f>Table1567891122[[#This Row],[Column102]]/Table1567891122[[#This Row],[Column2]]*0.1</f>
        <v>22.972972972972972</v>
      </c>
      <c r="I24" s="15">
        <f>Table1567891122[[#This Row],[Column102]]/Table1567891122[[#This Row],[Column2]]*0.1</f>
        <v>22.972972972972972</v>
      </c>
      <c r="J24">
        <v>8</v>
      </c>
      <c r="M24">
        <f>Table1567891122[[#This Row],[Column5]]/Table1567891122[[#This Row],[Column2]]*100</f>
        <v>0</v>
      </c>
      <c r="O24" t="e">
        <f>Table1567891122[[#This Row],[Column102]]/Table1567891122[[#This Row],[Column5]]*100</f>
        <v>#DIV/0!</v>
      </c>
      <c r="Q24">
        <v>850</v>
      </c>
      <c r="R24">
        <v>14</v>
      </c>
    </row>
    <row r="25" spans="4:18" x14ac:dyDescent="0.2">
      <c r="D25" t="s">
        <v>37</v>
      </c>
      <c r="E25" t="s">
        <v>157</v>
      </c>
      <c r="F25">
        <v>2.8</v>
      </c>
      <c r="G25">
        <v>515</v>
      </c>
      <c r="H25" s="15">
        <f>Table1567891122[[#This Row],[Column102]]/Table1567891122[[#This Row],[Column2]]*0.1</f>
        <v>18.392857142857146</v>
      </c>
      <c r="I25" s="15">
        <f>Table1567891122[[#This Row],[Column102]]/Table1567891122[[#This Row],[Column2]]*0.1</f>
        <v>18.392857142857146</v>
      </c>
      <c r="J25">
        <v>9</v>
      </c>
      <c r="M25">
        <f>Table1567891122[[#This Row],[Column5]]/Table1567891122[[#This Row],[Column2]]*100</f>
        <v>0</v>
      </c>
      <c r="O25" t="e">
        <f>Table1567891122[[#This Row],[Column102]]/Table1567891122[[#This Row],[Column5]]*100</f>
        <v>#DIV/0!</v>
      </c>
      <c r="Q25">
        <v>515</v>
      </c>
      <c r="R25">
        <v>15</v>
      </c>
    </row>
    <row r="26" spans="4:18" x14ac:dyDescent="0.2">
      <c r="H26" s="15"/>
      <c r="I26" s="15">
        <f>AVERAGE(I11:I25)</f>
        <v>52.931020958024284</v>
      </c>
      <c r="M26" s="16" t="e">
        <f>Table1567891122[[#This Row],[Column5]]/Table1567891122[[#This Row],[Column2]]*100</f>
        <v>#DIV/0!</v>
      </c>
      <c r="O26" s="16" t="e">
        <f>Table1567891122[[#This Row],[Column102]]/Table1567891122[[#This Row],[Column5]]*100</f>
        <v>#DIV/0!</v>
      </c>
    </row>
    <row r="27" spans="4:18" x14ac:dyDescent="0.2">
      <c r="H27" s="16"/>
      <c r="I27" s="16"/>
      <c r="M27" s="16" t="e">
        <f>Table1567891122[[#This Row],[Column5]]/Table1567891122[[#This Row],[Column2]]*100</f>
        <v>#DIV/0!</v>
      </c>
      <c r="O27" s="16" t="e">
        <f>Table1567891122[[#This Row],[Column102]]/Table1567891122[[#This Row],[Column5]]*100</f>
        <v>#DIV/0!</v>
      </c>
    </row>
    <row r="28" spans="4:18" x14ac:dyDescent="0.2">
      <c r="H28" s="16"/>
      <c r="I28" s="16"/>
      <c r="M28" s="16" t="e">
        <f>Table1567891122[[#This Row],[Column5]]/Table1567891122[[#This Row],[Column2]]*100</f>
        <v>#DIV/0!</v>
      </c>
      <c r="O28" s="16" t="e">
        <f>Table1567891122[[#This Row],[Column102]]/Table1567891122[[#This Row],[Column5]]*100</f>
        <v>#DIV/0!</v>
      </c>
    </row>
    <row r="29" spans="4:18" ht="34" x14ac:dyDescent="0.2">
      <c r="D29" s="1" t="s">
        <v>172</v>
      </c>
      <c r="H29" s="16">
        <v>63</v>
      </c>
      <c r="I29" s="16">
        <v>53</v>
      </c>
      <c r="M29" s="16" t="e">
        <f>Table1567891122[[#This Row],[Column5]]/Table1567891122[[#This Row],[Column2]]*100</f>
        <v>#DIV/0!</v>
      </c>
      <c r="O29" s="16" t="e">
        <f>Table1567891122[[#This Row],[Column102]]/Table1567891122[[#This Row],[Column5]]*100</f>
        <v>#DIV/0!</v>
      </c>
    </row>
    <row r="30" spans="4:18" ht="34" x14ac:dyDescent="0.2">
      <c r="D30" s="1" t="s">
        <v>162</v>
      </c>
      <c r="H30" s="15">
        <f>H11/H29*100</f>
        <v>120.67562067562069</v>
      </c>
      <c r="I30" s="15">
        <f>H11/I29*100</f>
        <v>143.44460570875668</v>
      </c>
      <c r="M30" s="16" t="e">
        <f>Table1567891122[[#This Row],[Column5]]/Table1567891122[[#This Row],[Column2]]*100</f>
        <v>#DIV/0!</v>
      </c>
      <c r="O30" s="16" t="e">
        <f>Table1567891122[[#This Row],[Column102]]/Table1567891122[[#This Row],[Column5]]*100</f>
        <v>#DIV/0!</v>
      </c>
    </row>
    <row r="31" spans="4:18" x14ac:dyDescent="0.2">
      <c r="H31" s="16"/>
      <c r="I31" s="16"/>
      <c r="M31" s="16" t="e">
        <f>Table1567891122[[#This Row],[Column5]]/Table1567891122[[#This Row],[Column2]]*100</f>
        <v>#DIV/0!</v>
      </c>
      <c r="O31" s="16" t="e">
        <f>Table1567891122[[#This Row],[Column102]]/Table1567891122[[#This Row],[Column5]]*100</f>
        <v>#DIV/0!</v>
      </c>
    </row>
    <row r="32" spans="4:18" x14ac:dyDescent="0.2">
      <c r="H32" s="16"/>
      <c r="I32" s="16"/>
      <c r="M32" s="16" t="e">
        <f>Table1567891122[[#This Row],[Column5]]/Table1567891122[[#This Row],[Column2]]*100</f>
        <v>#DIV/0!</v>
      </c>
      <c r="O32" s="16" t="e">
        <f>Table1567891122[[#This Row],[Column102]]/Table1567891122[[#This Row],[Column5]]*100</f>
        <v>#DIV/0!</v>
      </c>
    </row>
    <row r="33" spans="5:18" x14ac:dyDescent="0.2">
      <c r="E33" s="17"/>
      <c r="F33" s="17"/>
      <c r="G33" s="17"/>
      <c r="H33" s="19"/>
      <c r="I33" s="19"/>
      <c r="J33" s="17"/>
      <c r="K33" s="17"/>
      <c r="L33" s="17"/>
      <c r="M33" s="19" t="e">
        <f>Table1567891122[[#This Row],[Column5]]/Table1567891122[[#This Row],[Column2]]*100</f>
        <v>#DIV/0!</v>
      </c>
      <c r="N33" s="17"/>
      <c r="O33" s="19" t="e">
        <f>Table1567891122[[#This Row],[Column102]]/Table1567891122[[#This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D9:R33"/>
  <sheetViews>
    <sheetView topLeftCell="A7" workbookViewId="0">
      <selection activeCell="G7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9" t="s">
        <v>23</v>
      </c>
      <c r="E11">
        <v>1999</v>
      </c>
      <c r="F11">
        <v>0.86</v>
      </c>
      <c r="G11">
        <v>625</v>
      </c>
      <c r="H11" s="15">
        <f>Table1567891020[[#This Row],[Column102]]/Table1567891020[[#This Row],[Column2]]*0.1</f>
        <v>72.674418604651166</v>
      </c>
      <c r="I11" s="15"/>
      <c r="J11">
        <v>5</v>
      </c>
      <c r="M11">
        <f>Table1567891020[[#This Row],[Column5]]/Table1567891020[[#This Row],[Column2]]*100</f>
        <v>0</v>
      </c>
      <c r="O11" t="e">
        <f>Table1567891020[[#This Row],[Column102]]/Table1567891020[[#This Row],[Column5]]*100</f>
        <v>#DIV/0!</v>
      </c>
      <c r="Q11">
        <v>625</v>
      </c>
      <c r="R11">
        <v>1</v>
      </c>
    </row>
    <row r="12" spans="4:18" ht="34" x14ac:dyDescent="0.2">
      <c r="D12" s="10" t="s">
        <v>39</v>
      </c>
      <c r="E12">
        <v>2005</v>
      </c>
      <c r="F12">
        <v>0.74199999999999999</v>
      </c>
      <c r="G12">
        <v>114</v>
      </c>
      <c r="H12" s="15">
        <f>Table1567891020[[#This Row],[Column102]]/Table1567891020[[#This Row],[Column2]]*0.1</f>
        <v>15.363881401617252</v>
      </c>
      <c r="I12" s="15">
        <f>Table1567891020[[#This Row],[Column102]]/Table1567891020[[#This Row],[Column2]]*0.1</f>
        <v>15.363881401617252</v>
      </c>
      <c r="J12">
        <v>9</v>
      </c>
      <c r="M12">
        <f>Table1567891020[[#This Row],[Column5]]/Table1567891020[[#This Row],[Column2]]*100</f>
        <v>0</v>
      </c>
      <c r="O12" t="e">
        <f>Table1567891020[[#This Row],[Column102]]/Table1567891020[[#This Row],[Column5]]*100</f>
        <v>#DIV/0!</v>
      </c>
      <c r="Q12">
        <v>114</v>
      </c>
      <c r="R12">
        <v>2</v>
      </c>
    </row>
    <row r="13" spans="4:18" x14ac:dyDescent="0.2">
      <c r="D13" s="4" t="s">
        <v>59</v>
      </c>
      <c r="E13">
        <v>1997</v>
      </c>
      <c r="F13">
        <v>14</v>
      </c>
      <c r="G13">
        <v>466</v>
      </c>
      <c r="H13" s="15">
        <f>Table1567891020[[#This Row],[Column102]]/Table1567891020[[#This Row],[Column2]]*0.1</f>
        <v>3.3285714285714287</v>
      </c>
      <c r="I13" s="15">
        <f>Table1567891020[[#This Row],[Column102]]/Table1567891020[[#This Row],[Column2]]*0.1</f>
        <v>3.3285714285714287</v>
      </c>
      <c r="J13">
        <v>12</v>
      </c>
      <c r="M13">
        <f>Table1567891020[[#This Row],[Column5]]/Table1567891020[[#This Row],[Column2]]*100</f>
        <v>0</v>
      </c>
      <c r="O13" t="e">
        <f>Table1567891020[[#This Row],[Column102]]/Table1567891020[[#This Row],[Column5]]*100</f>
        <v>#DIV/0!</v>
      </c>
      <c r="Q13">
        <v>466</v>
      </c>
      <c r="R13">
        <v>3</v>
      </c>
    </row>
    <row r="14" spans="4:18" x14ac:dyDescent="0.2">
      <c r="D14" s="7" t="s">
        <v>58</v>
      </c>
      <c r="F14" t="s">
        <v>120</v>
      </c>
      <c r="G14">
        <v>863</v>
      </c>
      <c r="H14" s="15"/>
      <c r="I14" s="15"/>
      <c r="J14">
        <v>14</v>
      </c>
      <c r="M14" t="e">
        <f>Table1567891020[[#This Row],[Column5]]/Table1567891020[[#This Row],[Column2]]*100</f>
        <v>#VALUE!</v>
      </c>
      <c r="O14" t="e">
        <f>Table1567891020[[#This Row],[Column102]]/Table1567891020[[#This Row],[Column5]]*100</f>
        <v>#DIV/0!</v>
      </c>
      <c r="Q14">
        <v>863</v>
      </c>
      <c r="R14">
        <v>4</v>
      </c>
    </row>
    <row r="15" spans="4:18" x14ac:dyDescent="0.2">
      <c r="D15" s="4" t="s">
        <v>38</v>
      </c>
      <c r="E15" t="s">
        <v>158</v>
      </c>
      <c r="F15">
        <v>53</v>
      </c>
      <c r="G15">
        <v>1191</v>
      </c>
      <c r="H15" s="15">
        <f>Table1567891020[[#This Row],[Column102]]/Table1567891020[[#This Row],[Column2]]*0.1</f>
        <v>2.247169811320755</v>
      </c>
      <c r="I15" s="15"/>
      <c r="J15">
        <v>13</v>
      </c>
      <c r="M15">
        <f>Table1567891020[[#This Row],[Column5]]/Table1567891020[[#This Row],[Column2]]*100</f>
        <v>0</v>
      </c>
      <c r="O15" t="e">
        <f>Table1567891020[[#This Row],[Column102]]/Table1567891020[[#This Row],[Column5]]*100</f>
        <v>#DIV/0!</v>
      </c>
      <c r="Q15">
        <v>1191</v>
      </c>
      <c r="R15">
        <v>5</v>
      </c>
    </row>
    <row r="16" spans="4:18" x14ac:dyDescent="0.2">
      <c r="D16" s="7" t="s">
        <v>33</v>
      </c>
      <c r="E16">
        <v>2001</v>
      </c>
      <c r="F16">
        <v>0.40300000000000002</v>
      </c>
      <c r="G16">
        <v>71</v>
      </c>
      <c r="H16" s="15">
        <f>Table1567891020[[#This Row],[Column102]]/Table1567891020[[#This Row],[Column2]]*0.1</f>
        <v>17.617866004962778</v>
      </c>
      <c r="I16" s="15">
        <f>Table1567891020[[#This Row],[Column102]]/Table1567891020[[#This Row],[Column2]]*0.1</f>
        <v>17.617866004962778</v>
      </c>
      <c r="J16">
        <v>8</v>
      </c>
      <c r="M16">
        <f>Table1567891020[[#This Row],[Column5]]/Table1567891020[[#This Row],[Column2]]*100</f>
        <v>0</v>
      </c>
      <c r="O16" t="e">
        <f>Table1567891020[[#This Row],[Column102]]/Table1567891020[[#This Row],[Column5]]*100</f>
        <v>#DIV/0!</v>
      </c>
      <c r="Q16">
        <v>71</v>
      </c>
      <c r="R16">
        <v>6</v>
      </c>
    </row>
    <row r="17" spans="4:18" x14ac:dyDescent="0.2">
      <c r="D17" s="4" t="s">
        <v>52</v>
      </c>
      <c r="E17" t="s">
        <v>158</v>
      </c>
      <c r="F17">
        <v>1.9</v>
      </c>
      <c r="G17">
        <v>88</v>
      </c>
      <c r="H17" s="15">
        <f>Table1567891020[[#This Row],[Column102]]/Table1567891020[[#This Row],[Column2]]*0.1</f>
        <v>4.6315789473684212</v>
      </c>
      <c r="I17" s="15">
        <f>Table1567891020[[#This Row],[Column102]]/Table1567891020[[#This Row],[Column2]]*0.1</f>
        <v>4.6315789473684212</v>
      </c>
      <c r="J17">
        <v>11</v>
      </c>
      <c r="M17">
        <f>Table1567891020[[#This Row],[Column5]]/Table1567891020[[#This Row],[Column2]]*100</f>
        <v>0</v>
      </c>
      <c r="O17" t="e">
        <f>Table1567891020[[#This Row],[Column102]]/Table1567891020[[#This Row],[Column5]]*100</f>
        <v>#DIV/0!</v>
      </c>
      <c r="Q17">
        <v>88</v>
      </c>
      <c r="R17">
        <v>7</v>
      </c>
    </row>
    <row r="18" spans="4:18" x14ac:dyDescent="0.2">
      <c r="D18" s="7" t="s">
        <v>41</v>
      </c>
      <c r="F18" t="s">
        <v>120</v>
      </c>
      <c r="G18">
        <v>126</v>
      </c>
      <c r="H18" s="15"/>
      <c r="I18" s="15"/>
      <c r="J18">
        <v>15</v>
      </c>
      <c r="M18" t="e">
        <f>Table1567891020[[#This Row],[Column5]]/Table1567891020[[#This Row],[Column2]]*100</f>
        <v>#VALUE!</v>
      </c>
      <c r="O18" t="e">
        <f>Table1567891020[[#This Row],[Column102]]/Table1567891020[[#This Row],[Column5]]*100</f>
        <v>#DIV/0!</v>
      </c>
      <c r="Q18">
        <v>126</v>
      </c>
      <c r="R18">
        <v>8</v>
      </c>
    </row>
    <row r="19" spans="4:18" x14ac:dyDescent="0.2">
      <c r="D19" s="4" t="s">
        <v>48</v>
      </c>
      <c r="E19" t="s">
        <v>159</v>
      </c>
      <c r="F19">
        <v>0.32</v>
      </c>
      <c r="G19">
        <v>660</v>
      </c>
      <c r="H19" s="15">
        <f>Table1567891020[[#This Row],[Column102]]/Table1567891020[[#This Row],[Column2]]*0.1</f>
        <v>206.25</v>
      </c>
      <c r="I19" s="15"/>
      <c r="J19">
        <v>1</v>
      </c>
      <c r="M19">
        <f>Table1567891020[[#This Row],[Column5]]/Table1567891020[[#This Row],[Column2]]*100</f>
        <v>0</v>
      </c>
      <c r="O19" t="e">
        <f>Table1567891020[[#This Row],[Column102]]/Table1567891020[[#This Row],[Column5]]*100</f>
        <v>#DIV/0!</v>
      </c>
      <c r="Q19">
        <v>660</v>
      </c>
      <c r="R19">
        <v>9</v>
      </c>
    </row>
    <row r="20" spans="4:18" x14ac:dyDescent="0.2">
      <c r="D20" s="7" t="s">
        <v>44</v>
      </c>
      <c r="E20" t="s">
        <v>153</v>
      </c>
      <c r="F20">
        <v>0.26</v>
      </c>
      <c r="G20">
        <v>267</v>
      </c>
      <c r="H20" s="15">
        <f>Table1567891020[[#This Row],[Column102]]/Table1567891020[[#This Row],[Column2]]*0.1</f>
        <v>102.69230769230769</v>
      </c>
      <c r="I20" s="15">
        <f>Table1567891020[[#This Row],[Column102]]/Table1567891020[[#This Row],[Column2]]*0.1</f>
        <v>102.69230769230769</v>
      </c>
      <c r="J20">
        <v>2</v>
      </c>
      <c r="M20">
        <f>Table1567891020[[#This Row],[Column5]]/Table1567891020[[#This Row],[Column2]]*100</f>
        <v>0</v>
      </c>
      <c r="O20" t="e">
        <f>Table1567891020[[#This Row],[Column102]]/Table1567891020[[#This Row],[Column5]]*100</f>
        <v>#DIV/0!</v>
      </c>
      <c r="Q20">
        <v>267</v>
      </c>
      <c r="R20">
        <v>10</v>
      </c>
    </row>
    <row r="21" spans="4:18" x14ac:dyDescent="0.2">
      <c r="D21" s="4" t="s">
        <v>47</v>
      </c>
      <c r="E21">
        <v>1998</v>
      </c>
      <c r="F21">
        <v>1.2</v>
      </c>
      <c r="G21">
        <v>168</v>
      </c>
      <c r="H21" s="15">
        <f>Table1567891020[[#This Row],[Column102]]/Table1567891020[[#This Row],[Column2]]*0.1</f>
        <v>14</v>
      </c>
      <c r="I21" s="15">
        <f>Table1567891020[[#This Row],[Column102]]/Table1567891020[[#This Row],[Column2]]*0.1</f>
        <v>14</v>
      </c>
      <c r="J21">
        <v>10</v>
      </c>
      <c r="M21">
        <f>Table1567891020[[#This Row],[Column5]]/Table1567891020[[#This Row],[Column2]]*100</f>
        <v>0</v>
      </c>
      <c r="O21" t="e">
        <f>Table1567891020[[#This Row],[Column102]]/Table1567891020[[#This Row],[Column5]]*100</f>
        <v>#DIV/0!</v>
      </c>
      <c r="Q21">
        <v>168</v>
      </c>
      <c r="R21">
        <v>11</v>
      </c>
    </row>
    <row r="22" spans="4:18" x14ac:dyDescent="0.2">
      <c r="D22" s="7" t="s">
        <v>53</v>
      </c>
      <c r="E22" t="s">
        <v>160</v>
      </c>
      <c r="F22">
        <v>0.33</v>
      </c>
      <c r="G22">
        <v>247</v>
      </c>
      <c r="H22" s="15">
        <f>Table1567891020[[#This Row],[Column102]]/Table1567891020[[#This Row],[Column2]]*0.1</f>
        <v>74.848484848484858</v>
      </c>
      <c r="I22" s="15">
        <f>Table1567891020[[#This Row],[Column102]]/Table1567891020[[#This Row],[Column2]]*0.1</f>
        <v>74.848484848484858</v>
      </c>
      <c r="J22">
        <v>4</v>
      </c>
      <c r="M22">
        <f>Table1567891020[[#This Row],[Column5]]/Table1567891020[[#This Row],[Column2]]*100</f>
        <v>0</v>
      </c>
      <c r="O22" t="e">
        <f>Table1567891020[[#This Row],[Column102]]/Table1567891020[[#This Row],[Column5]]*100</f>
        <v>#DIV/0!</v>
      </c>
      <c r="Q22">
        <v>247</v>
      </c>
      <c r="R22">
        <v>12</v>
      </c>
    </row>
    <row r="23" spans="4:18" x14ac:dyDescent="0.2">
      <c r="D23" s="4" t="s">
        <v>43</v>
      </c>
      <c r="E23" t="s">
        <v>153</v>
      </c>
      <c r="F23">
        <v>0.55000000000000004</v>
      </c>
      <c r="G23">
        <v>465</v>
      </c>
      <c r="H23" s="15">
        <f>Table1567891020[[#This Row],[Column102]]/Table1567891020[[#This Row],[Column2]]*0.1</f>
        <v>84.545454545454547</v>
      </c>
      <c r="I23" s="15">
        <f>Table1567891020[[#This Row],[Column102]]/Table1567891020[[#This Row],[Column2]]*0.1</f>
        <v>84.545454545454547</v>
      </c>
      <c r="J23">
        <v>3</v>
      </c>
      <c r="M23">
        <f>Table1567891020[[#This Row],[Column5]]/Table1567891020[[#This Row],[Column2]]*100</f>
        <v>0</v>
      </c>
      <c r="O23" t="e">
        <f>Table1567891020[[#This Row],[Column102]]/Table1567891020[[#This Row],[Column5]]*100</f>
        <v>#DIV/0!</v>
      </c>
      <c r="Q23">
        <v>465</v>
      </c>
      <c r="R23">
        <v>13</v>
      </c>
    </row>
    <row r="24" spans="4:18" x14ac:dyDescent="0.2">
      <c r="D24" s="7" t="s">
        <v>51</v>
      </c>
      <c r="E24" t="s">
        <v>160</v>
      </c>
      <c r="F24">
        <v>2.7</v>
      </c>
      <c r="G24">
        <v>717</v>
      </c>
      <c r="H24" s="15">
        <f>Table1567891020[[#This Row],[Column102]]/Table1567891020[[#This Row],[Column2]]*0.1</f>
        <v>26.555555555555557</v>
      </c>
      <c r="I24" s="15">
        <f>Table1567891020[[#This Row],[Column102]]/Table1567891020[[#This Row],[Column2]]*0.1</f>
        <v>26.555555555555557</v>
      </c>
      <c r="J24">
        <v>6</v>
      </c>
      <c r="M24">
        <f>Table1567891020[[#This Row],[Column5]]/Table1567891020[[#This Row],[Column2]]*100</f>
        <v>0</v>
      </c>
      <c r="O24" t="e">
        <f>Table1567891020[[#This Row],[Column102]]/Table1567891020[[#This Row],[Column5]]*100</f>
        <v>#DIV/0!</v>
      </c>
      <c r="Q24">
        <v>717</v>
      </c>
      <c r="R24">
        <v>14</v>
      </c>
    </row>
    <row r="25" spans="4:18" x14ac:dyDescent="0.2">
      <c r="D25" s="4" t="s">
        <v>37</v>
      </c>
      <c r="E25">
        <v>1998</v>
      </c>
      <c r="F25">
        <v>2.8</v>
      </c>
      <c r="G25">
        <v>561</v>
      </c>
      <c r="H25" s="15">
        <f>Table1567891020[[#This Row],[Column102]]/Table1567891020[[#This Row],[Column2]]*0.1</f>
        <v>20.035714285714288</v>
      </c>
      <c r="I25" s="15">
        <f>Table1567891020[[#This Row],[Column102]]/Table1567891020[[#This Row],[Column2]]*0.1</f>
        <v>20.035714285714288</v>
      </c>
      <c r="J25">
        <v>7</v>
      </c>
      <c r="M25">
        <f>Table1567891020[[#This Row],[Column5]]/Table1567891020[[#This Row],[Column2]]*100</f>
        <v>0</v>
      </c>
      <c r="O25" t="e">
        <f>Table1567891020[[#This Row],[Column102]]/Table1567891020[[#This Row],[Column5]]*100</f>
        <v>#DIV/0!</v>
      </c>
      <c r="Q25">
        <v>561</v>
      </c>
      <c r="R25">
        <v>15</v>
      </c>
    </row>
    <row r="26" spans="4:18" x14ac:dyDescent="0.2">
      <c r="H26" s="15"/>
      <c r="I26" s="15">
        <f>AVERAGE(I11:I25)</f>
        <v>36.361941471003682</v>
      </c>
      <c r="M26" s="16" t="e">
        <f>Table1567891020[[#This Row],[Column5]]/Table1567891020[[#This Row],[Column2]]*100</f>
        <v>#DIV/0!</v>
      </c>
      <c r="O26" s="16" t="e">
        <f>Table1567891020[[#This Row],[Column102]]/Table1567891020[[#This Row],[Column5]]*100</f>
        <v>#DIV/0!</v>
      </c>
    </row>
    <row r="27" spans="4:18" x14ac:dyDescent="0.2">
      <c r="H27" s="15"/>
      <c r="I27" s="15"/>
      <c r="M27" s="16" t="e">
        <f>Table1567891020[[#This Row],[Column5]]/Table1567891020[[#This Row],[Column2]]*100</f>
        <v>#DIV/0!</v>
      </c>
      <c r="O27" s="16" t="e">
        <f>Table1567891020[[#This Row],[Column102]]/Table1567891020[[#This Row],[Column5]]*100</f>
        <v>#DIV/0!</v>
      </c>
    </row>
    <row r="28" spans="4:18" x14ac:dyDescent="0.2">
      <c r="H28" s="15"/>
      <c r="I28" s="15"/>
      <c r="M28" s="16" t="e">
        <f>Table1567891020[[#This Row],[Column5]]/Table1567891020[[#This Row],[Column2]]*100</f>
        <v>#DIV/0!</v>
      </c>
      <c r="O28" s="16" t="e">
        <f>Table1567891020[[#This Row],[Column102]]/Table1567891020[[#This Row],[Column5]]*100</f>
        <v>#DIV/0!</v>
      </c>
    </row>
    <row r="29" spans="4:18" x14ac:dyDescent="0.2">
      <c r="D29" s="1" t="e">
        <f>av of all but Palestine</f>
        <v>#NAME?</v>
      </c>
      <c r="H29" s="15">
        <v>48</v>
      </c>
      <c r="I29" s="15">
        <v>36</v>
      </c>
      <c r="M29" s="16" t="e">
        <f>Table1567891020[[#This Row],[Column5]]/Table1567891020[[#This Row],[Column2]]*100</f>
        <v>#DIV/0!</v>
      </c>
      <c r="O29" s="16" t="e">
        <f>Table1567891020[[#This Row],[Column102]]/Table1567891020[[#This Row],[Column5]]*100</f>
        <v>#DIV/0!</v>
      </c>
    </row>
    <row r="30" spans="4:18" ht="34" x14ac:dyDescent="0.2">
      <c r="D30" s="1" t="s">
        <v>162</v>
      </c>
      <c r="H30" s="15">
        <f>H11/H29*100</f>
        <v>151.40503875968994</v>
      </c>
      <c r="I30" s="15">
        <f>H11/I29*100</f>
        <v>201.87338501291993</v>
      </c>
      <c r="M30" s="16" t="e">
        <f>Table1567891020[[#This Row],[Column5]]/Table1567891020[[#This Row],[Column2]]*100</f>
        <v>#DIV/0!</v>
      </c>
      <c r="O30" s="16" t="e">
        <f>Table1567891020[[#This Row],[Column102]]/Table1567891020[[#This Row],[Column5]]*100</f>
        <v>#DIV/0!</v>
      </c>
    </row>
    <row r="31" spans="4:18" x14ac:dyDescent="0.2">
      <c r="H31" s="15"/>
      <c r="I31" s="15"/>
      <c r="M31" s="16" t="e">
        <f>Table1567891020[[#This Row],[Column5]]/Table1567891020[[#This Row],[Column2]]*100</f>
        <v>#DIV/0!</v>
      </c>
      <c r="O31" s="16" t="e">
        <f>Table1567891020[[#This Row],[Column102]]/Table1567891020[[#This Row],[Column5]]*100</f>
        <v>#DIV/0!</v>
      </c>
    </row>
    <row r="32" spans="4:18" x14ac:dyDescent="0.2">
      <c r="H32" s="15"/>
      <c r="I32" s="15"/>
      <c r="M32" s="16" t="e">
        <f>Table1567891020[[#This Row],[Column5]]/Table1567891020[[#This Row],[Column2]]*100</f>
        <v>#DIV/0!</v>
      </c>
      <c r="O32" s="16" t="e">
        <f>Table1567891020[[#This Row],[Column102]]/Table1567891020[[#This Row],[Column5]]*100</f>
        <v>#DIV/0!</v>
      </c>
    </row>
    <row r="33" spans="5:18" x14ac:dyDescent="0.2">
      <c r="E33" s="17"/>
      <c r="F33" s="17"/>
      <c r="G33" s="17"/>
      <c r="H33" s="18"/>
      <c r="I33" s="18"/>
      <c r="J33" s="17"/>
      <c r="K33" s="17"/>
      <c r="L33" s="17"/>
      <c r="M33" s="19" t="e">
        <f>Table1567891020[[#This Row],[Column5]]/Table1567891020[[#This Row],[Column2]]*100</f>
        <v>#DIV/0!</v>
      </c>
      <c r="N33" s="17"/>
      <c r="O33" s="19" t="e">
        <f>Table1567891020[[#This Row],[Column102]]/Table1567891020[[#This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D9:T33"/>
  <sheetViews>
    <sheetView workbookViewId="0">
      <selection activeCell="U9" sqref="U9"/>
    </sheetView>
  </sheetViews>
  <sheetFormatPr baseColWidth="10" defaultRowHeight="16" x14ac:dyDescent="0.2"/>
  <sheetData>
    <row r="9" spans="5:20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168</v>
      </c>
      <c r="L9" s="1" t="s">
        <v>14</v>
      </c>
      <c r="M9" s="1" t="s">
        <v>10</v>
      </c>
      <c r="N9" s="1" t="s">
        <v>15</v>
      </c>
      <c r="O9" s="1" t="s">
        <v>16</v>
      </c>
      <c r="P9" s="1" t="s">
        <v>17</v>
      </c>
      <c r="Q9" s="1" t="s">
        <v>18</v>
      </c>
      <c r="R9" s="1" t="s">
        <v>109</v>
      </c>
      <c r="S9" s="1" t="s">
        <v>21</v>
      </c>
      <c r="T9" s="1" t="s">
        <v>245</v>
      </c>
    </row>
    <row r="10" spans="5:20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167</v>
      </c>
      <c r="L10" t="s">
        <v>4</v>
      </c>
      <c r="M10" t="s">
        <v>244</v>
      </c>
      <c r="N10" t="s">
        <v>22</v>
      </c>
      <c r="O10" t="s">
        <v>5</v>
      </c>
      <c r="P10" t="s">
        <v>6</v>
      </c>
      <c r="Q10" t="s">
        <v>7</v>
      </c>
      <c r="R10" t="s">
        <v>8</v>
      </c>
      <c r="S10" t="s">
        <v>177</v>
      </c>
      <c r="T10" t="s">
        <v>20</v>
      </c>
    </row>
    <row r="11" spans="5:20" ht="34" x14ac:dyDescent="0.2">
      <c r="E11" t="s">
        <v>146</v>
      </c>
      <c r="F11">
        <v>0.74</v>
      </c>
      <c r="G11">
        <v>121</v>
      </c>
      <c r="H11" s="15">
        <f>Table1567891121[[#This Row],[Column102]]/Table1567891121[[#This Row],[Column2]]*0.1</f>
        <v>0.13513513513513514</v>
      </c>
      <c r="I11" s="15">
        <f>Table1567891121[[#This Row],[Column102]]/Table1567891121[[#This Row],[Column2]]*0.1</f>
        <v>0.13513513513513514</v>
      </c>
      <c r="J11">
        <v>8</v>
      </c>
      <c r="O11">
        <f>Table1567891121[[#This Row],[Column5]]/Table1567891121[[#This Row],[Column2]]*100</f>
        <v>0</v>
      </c>
      <c r="Q11" t="e">
        <f>Table1567891121[[#This Row],[Column102]]/Table1567891121[[#This Row],[Column5]]*100</f>
        <v>#DIV/0!</v>
      </c>
      <c r="R11">
        <v>121</v>
      </c>
      <c r="S11">
        <v>1</v>
      </c>
      <c r="T11" s="9" t="s">
        <v>39</v>
      </c>
    </row>
    <row r="12" spans="5:20" ht="34" x14ac:dyDescent="0.2">
      <c r="E12" t="s">
        <v>161</v>
      </c>
      <c r="F12">
        <v>0.86</v>
      </c>
      <c r="G12">
        <v>598</v>
      </c>
      <c r="H12" s="15">
        <f>Table1567891121[[#This Row],[Column102]]/Table1567891121[[#This Row],[Column2]]*0.1</f>
        <v>0.23255813953488375</v>
      </c>
      <c r="I12" s="15"/>
      <c r="J12">
        <v>2</v>
      </c>
      <c r="K12">
        <v>0.73699999999999999</v>
      </c>
      <c r="O12">
        <f>Table1567891121[[#This Row],[Column5]]/Table1567891121[[#This Row],[Column2]]*100</f>
        <v>0</v>
      </c>
      <c r="Q12" t="e">
        <f>Table1567891121[[#This Row],[Column102]]/Table1567891121[[#This Row],[Column5]]*100</f>
        <v>#DIV/0!</v>
      </c>
      <c r="R12">
        <v>598</v>
      </c>
      <c r="S12">
        <v>2</v>
      </c>
      <c r="T12" s="10" t="s">
        <v>23</v>
      </c>
    </row>
    <row r="13" spans="5:20" x14ac:dyDescent="0.2">
      <c r="E13" t="s">
        <v>132</v>
      </c>
      <c r="F13">
        <v>2.2000000000000002</v>
      </c>
      <c r="G13">
        <v>876</v>
      </c>
      <c r="H13" s="15">
        <f>Table1567891121[[#This Row],[Column102]]/Table1567891121[[#This Row],[Column2]]*0.1</f>
        <v>0.13636363636363635</v>
      </c>
      <c r="I13" s="15">
        <f>Table1567891121[[#This Row],[Column102]]/Table1567891121[[#This Row],[Column2]]*0.1</f>
        <v>0.13636363636363635</v>
      </c>
      <c r="J13">
        <v>14</v>
      </c>
      <c r="K13">
        <v>0.71</v>
      </c>
      <c r="O13">
        <f>Table1567891121[[#This Row],[Column5]]/Table1567891121[[#This Row],[Column2]]*100</f>
        <v>0</v>
      </c>
      <c r="Q13" t="e">
        <f>Table1567891121[[#This Row],[Column102]]/Table1567891121[[#This Row],[Column5]]*100</f>
        <v>#DIV/0!</v>
      </c>
      <c r="R13">
        <v>876</v>
      </c>
      <c r="S13">
        <v>3</v>
      </c>
      <c r="T13" s="4" t="s">
        <v>58</v>
      </c>
    </row>
    <row r="14" spans="5:20" x14ac:dyDescent="0.2">
      <c r="E14">
        <v>1998</v>
      </c>
      <c r="F14">
        <v>58</v>
      </c>
      <c r="G14">
        <v>1066</v>
      </c>
      <c r="H14" s="15">
        <f>Table1567891121[[#This Row],[Column102]]/Table1567891121[[#This Row],[Column2]]*0.1</f>
        <v>6.8965517241379309E-3</v>
      </c>
      <c r="I14" s="15">
        <f>Table1567891121[[#This Row],[Column102]]/Table1567891121[[#This Row],[Column2]]*0.1</f>
        <v>6.8965517241379309E-3</v>
      </c>
      <c r="J14">
        <v>13</v>
      </c>
      <c r="K14">
        <v>0.872</v>
      </c>
      <c r="O14">
        <f>Table1567891121[[#This Row],[Column5]]/Table1567891121[[#This Row],[Column2]]*100</f>
        <v>0</v>
      </c>
      <c r="Q14" t="e">
        <f>Table1567891121[[#This Row],[Column102]]/Table1567891121[[#This Row],[Column5]]*100</f>
        <v>#DIV/0!</v>
      </c>
      <c r="R14">
        <v>1066</v>
      </c>
      <c r="S14">
        <v>4</v>
      </c>
      <c r="T14" s="7" t="s">
        <v>38</v>
      </c>
    </row>
    <row r="15" spans="5:20" x14ac:dyDescent="0.2">
      <c r="E15" t="s">
        <v>146</v>
      </c>
      <c r="F15">
        <v>0.4</v>
      </c>
      <c r="G15">
        <v>57</v>
      </c>
      <c r="H15" s="15">
        <f>Table1567891121[[#This Row],[Column102]]/Table1567891121[[#This Row],[Column2]]*0.1</f>
        <v>1.25</v>
      </c>
      <c r="I15" s="15">
        <f>Table1567891121[[#This Row],[Column102]]/Table1567891121[[#This Row],[Column2]]*0.1</f>
        <v>1.25</v>
      </c>
      <c r="J15">
        <v>9</v>
      </c>
      <c r="K15">
        <v>0.64600000000000002</v>
      </c>
      <c r="O15">
        <f>Table1567891121[[#This Row],[Column5]]/Table1567891121[[#This Row],[Column2]]*100</f>
        <v>0</v>
      </c>
      <c r="Q15" t="e">
        <f>Table1567891121[[#This Row],[Column102]]/Table1567891121[[#This Row],[Column5]]*100</f>
        <v>#DIV/0!</v>
      </c>
      <c r="R15">
        <v>57</v>
      </c>
      <c r="S15">
        <v>5</v>
      </c>
      <c r="T15" s="4" t="s">
        <v>33</v>
      </c>
    </row>
    <row r="16" spans="5:20" x14ac:dyDescent="0.2">
      <c r="E16">
        <v>2000</v>
      </c>
      <c r="F16">
        <v>3.6</v>
      </c>
      <c r="G16">
        <v>312</v>
      </c>
      <c r="H16" s="15">
        <f>Table1567891121[[#This Row],[Column102]]/Table1567891121[[#This Row],[Column2]]*0.1</f>
        <v>0.16666666666666666</v>
      </c>
      <c r="I16" s="15">
        <f>Table1567891121[[#This Row],[Column102]]/Table1567891121[[#This Row],[Column2]]*0.1</f>
        <v>0.16666666666666666</v>
      </c>
      <c r="J16">
        <v>10</v>
      </c>
      <c r="K16">
        <v>0.73499999999999999</v>
      </c>
      <c r="O16">
        <f>Table1567891121[[#This Row],[Column5]]/Table1567891121[[#This Row],[Column2]]*100</f>
        <v>0</v>
      </c>
      <c r="Q16" t="e">
        <f>Table1567891121[[#This Row],[Column102]]/Table1567891121[[#This Row],[Column5]]*100</f>
        <v>#DIV/0!</v>
      </c>
      <c r="R16">
        <v>312</v>
      </c>
      <c r="S16">
        <v>6</v>
      </c>
      <c r="T16" s="7" t="s">
        <v>60</v>
      </c>
    </row>
    <row r="17" spans="4:20" x14ac:dyDescent="0.2">
      <c r="E17">
        <v>2000</v>
      </c>
      <c r="F17">
        <v>0.6</v>
      </c>
      <c r="G17">
        <v>561</v>
      </c>
      <c r="H17" s="15">
        <f>Table1567891121[[#This Row],[Column102]]/Table1567891121[[#This Row],[Column2]]*0.1</f>
        <v>1.1666666666666667</v>
      </c>
      <c r="I17" s="15"/>
      <c r="J17">
        <v>1</v>
      </c>
      <c r="K17">
        <v>0.54700000000000004</v>
      </c>
      <c r="O17">
        <f>Table1567891121[[#This Row],[Column5]]/Table1567891121[[#This Row],[Column2]]*100</f>
        <v>0</v>
      </c>
      <c r="Q17" t="e">
        <f>Table1567891121[[#This Row],[Column102]]/Table1567891121[[#This Row],[Column5]]*100</f>
        <v>#DIV/0!</v>
      </c>
      <c r="R17">
        <v>561</v>
      </c>
      <c r="S17">
        <v>7</v>
      </c>
      <c r="T17" s="4" t="s">
        <v>43</v>
      </c>
    </row>
    <row r="18" spans="4:20" x14ac:dyDescent="0.2">
      <c r="E18">
        <v>2002</v>
      </c>
      <c r="F18">
        <v>0.95</v>
      </c>
      <c r="G18">
        <v>183</v>
      </c>
      <c r="H18" s="15">
        <f>Table1567891121[[#This Row],[Column102]]/Table1567891121[[#This Row],[Column2]]*0.1</f>
        <v>0.84210526315789469</v>
      </c>
      <c r="I18" s="15">
        <f>Table1567891121[[#This Row],[Column102]]/Table1567891121[[#This Row],[Column2]]*0.1</f>
        <v>0.84210526315789469</v>
      </c>
      <c r="J18">
        <v>6</v>
      </c>
      <c r="K18">
        <v>0.60599999999999998</v>
      </c>
      <c r="O18">
        <f>Table1567891121[[#This Row],[Column5]]/Table1567891121[[#This Row],[Column2]]*100</f>
        <v>0</v>
      </c>
      <c r="Q18" t="e">
        <f>Table1567891121[[#This Row],[Column102]]/Table1567891121[[#This Row],[Column5]]*100</f>
        <v>#DIV/0!</v>
      </c>
      <c r="R18">
        <v>183</v>
      </c>
      <c r="S18">
        <v>8</v>
      </c>
      <c r="T18" s="7" t="s">
        <v>47</v>
      </c>
    </row>
    <row r="19" spans="4:20" x14ac:dyDescent="0.2">
      <c r="F19" t="s">
        <v>120</v>
      </c>
      <c r="G19">
        <v>99</v>
      </c>
      <c r="H19" s="15"/>
      <c r="I19" s="15"/>
      <c r="J19">
        <v>15</v>
      </c>
      <c r="K19">
        <v>0.28899999999999998</v>
      </c>
      <c r="O19" t="e">
        <f>Table1567891121[[#This Row],[Column5]]/Table1567891121[[#This Row],[Column2]]*100</f>
        <v>#VALUE!</v>
      </c>
      <c r="Q19" t="e">
        <f>Table1567891121[[#This Row],[Column102]]/Table1567891121[[#This Row],[Column5]]*100</f>
        <v>#DIV/0!</v>
      </c>
      <c r="R19">
        <v>99</v>
      </c>
      <c r="S19">
        <v>9</v>
      </c>
      <c r="T19" s="11" t="s">
        <v>41</v>
      </c>
    </row>
    <row r="20" spans="4:20" x14ac:dyDescent="0.2">
      <c r="E20">
        <v>2001</v>
      </c>
      <c r="F20">
        <v>2.7</v>
      </c>
      <c r="G20">
        <v>632</v>
      </c>
      <c r="H20" s="15">
        <f>Table1567891121[[#This Row],[Column102]]/Table1567891121[[#This Row],[Column2]]*0.1</f>
        <v>0.37037037037037035</v>
      </c>
      <c r="I20" s="15">
        <f>Table1567891121[[#This Row],[Column102]]/Table1567891121[[#This Row],[Column2]]*0.1</f>
        <v>0.37037037037037035</v>
      </c>
      <c r="J20">
        <v>5</v>
      </c>
      <c r="K20">
        <v>0.59299999999999997</v>
      </c>
      <c r="O20">
        <f>Table1567891121[[#This Row],[Column5]]/Table1567891121[[#This Row],[Column2]]*100</f>
        <v>0</v>
      </c>
      <c r="Q20" t="e">
        <f>Table1567891121[[#This Row],[Column102]]/Table1567891121[[#This Row],[Column5]]*100</f>
        <v>#DIV/0!</v>
      </c>
      <c r="R20">
        <v>632</v>
      </c>
      <c r="S20">
        <v>10</v>
      </c>
      <c r="T20" s="7" t="s">
        <v>51</v>
      </c>
    </row>
    <row r="21" spans="4:20" x14ac:dyDescent="0.2">
      <c r="E21" t="s">
        <v>160</v>
      </c>
      <c r="F21">
        <v>0.33</v>
      </c>
      <c r="G21">
        <v>205</v>
      </c>
      <c r="H21" s="15">
        <f>Table1567891121[[#This Row],[Column102]]/Table1567891121[[#This Row],[Column2]]*0.1</f>
        <v>3.333333333333333</v>
      </c>
      <c r="I21" s="15">
        <f>Table1567891121[[#This Row],[Column102]]/Table1567891121[[#This Row],[Column2]]*0.1</f>
        <v>3.333333333333333</v>
      </c>
      <c r="J21">
        <v>3</v>
      </c>
      <c r="K21">
        <v>0.622</v>
      </c>
      <c r="O21">
        <f>Table1567891121[[#This Row],[Column5]]/Table1567891121[[#This Row],[Column2]]*100</f>
        <v>0</v>
      </c>
      <c r="Q21" t="e">
        <f>Table1567891121[[#This Row],[Column102]]/Table1567891121[[#This Row],[Column5]]*100</f>
        <v>#DIV/0!</v>
      </c>
      <c r="R21">
        <v>205</v>
      </c>
      <c r="S21">
        <v>11</v>
      </c>
      <c r="T21" s="4" t="s">
        <v>53</v>
      </c>
    </row>
    <row r="22" spans="4:20" x14ac:dyDescent="0.2">
      <c r="E22" t="s">
        <v>146</v>
      </c>
      <c r="F22">
        <v>0.67</v>
      </c>
      <c r="G22">
        <v>242</v>
      </c>
      <c r="H22" s="15">
        <f>Table1567891121[[#This Row],[Column102]]/Table1567891121[[#This Row],[Column2]]*0.1</f>
        <v>1.7910447761194028</v>
      </c>
      <c r="I22" s="15">
        <f>Table1567891121[[#This Row],[Column102]]/Table1567891121[[#This Row],[Column2]]*0.1</f>
        <v>1.7910447761194028</v>
      </c>
      <c r="J22">
        <v>4</v>
      </c>
      <c r="K22">
        <v>0.65600000000000003</v>
      </c>
      <c r="O22">
        <f>Table1567891121[[#This Row],[Column5]]/Table1567891121[[#This Row],[Column2]]*100</f>
        <v>0</v>
      </c>
      <c r="Q22" t="e">
        <f>Table1567891121[[#This Row],[Column102]]/Table1567891121[[#This Row],[Column5]]*100</f>
        <v>#DIV/0!</v>
      </c>
      <c r="R22">
        <v>242</v>
      </c>
      <c r="S22">
        <v>12</v>
      </c>
      <c r="T22" s="7" t="s">
        <v>61</v>
      </c>
    </row>
    <row r="23" spans="4:20" ht="34" x14ac:dyDescent="0.2">
      <c r="E23">
        <v>2001</v>
      </c>
      <c r="F23">
        <v>1.9</v>
      </c>
      <c r="G23">
        <v>359</v>
      </c>
      <c r="H23" s="15">
        <f>Table1567891121[[#This Row],[Column102]]/Table1567891121[[#This Row],[Column2]]*0.1</f>
        <v>0.68421052631578949</v>
      </c>
      <c r="I23" s="15">
        <f>Table1567891121[[#This Row],[Column102]]/Table1567891121[[#This Row],[Column2]]*0.1</f>
        <v>0.68421052631578949</v>
      </c>
      <c r="J23">
        <v>7</v>
      </c>
      <c r="K23">
        <v>0.43099999999999999</v>
      </c>
      <c r="O23">
        <f>Table1567891121[[#This Row],[Column5]]/Table1567891121[[#This Row],[Column2]]*100</f>
        <v>0</v>
      </c>
      <c r="Q23" t="e">
        <f>Table1567891121[[#This Row],[Column102]]/Table1567891121[[#This Row],[Column5]]*100</f>
        <v>#DIV/0!</v>
      </c>
      <c r="R23">
        <v>359</v>
      </c>
      <c r="S23">
        <v>13</v>
      </c>
      <c r="T23" s="9" t="s">
        <v>62</v>
      </c>
    </row>
    <row r="24" spans="4:20" x14ac:dyDescent="0.2">
      <c r="E24" t="s">
        <v>160</v>
      </c>
      <c r="F24">
        <v>7.9</v>
      </c>
      <c r="G24">
        <v>237</v>
      </c>
      <c r="H24" s="15">
        <f>Table1567891121[[#This Row],[Column102]]/Table1567891121[[#This Row],[Column2]]*0.1</f>
        <v>0.17721518987341772</v>
      </c>
      <c r="I24" s="15">
        <f>Table1567891121[[#This Row],[Column102]]/Table1567891121[[#This Row],[Column2]]*0.1</f>
        <v>0.17721518987341772</v>
      </c>
      <c r="J24">
        <v>11</v>
      </c>
      <c r="K24">
        <v>0.79600000000000004</v>
      </c>
      <c r="O24">
        <f>Table1567891121[[#This Row],[Column5]]/Table1567891121[[#This Row],[Column2]]*100</f>
        <v>0</v>
      </c>
      <c r="Q24" t="e">
        <f>Table1567891121[[#This Row],[Column102]]/Table1567891121[[#This Row],[Column5]]*100</f>
        <v>#DIV/0!</v>
      </c>
      <c r="R24">
        <v>237</v>
      </c>
      <c r="S24">
        <v>14</v>
      </c>
      <c r="T24" s="7" t="s">
        <v>63</v>
      </c>
    </row>
    <row r="25" spans="4:20" x14ac:dyDescent="0.2">
      <c r="E25">
        <v>2000</v>
      </c>
      <c r="F25">
        <v>1.9</v>
      </c>
      <c r="G25">
        <v>41</v>
      </c>
      <c r="H25" s="15">
        <f>Table1567891121[[#This Row],[Column102]]/Table1567891121[[#This Row],[Column2]]*0.1</f>
        <v>0.78947368421052644</v>
      </c>
      <c r="I25" s="15"/>
      <c r="J25">
        <v>12</v>
      </c>
      <c r="K25">
        <v>0.80100000000000005</v>
      </c>
      <c r="O25">
        <f>Table1567891121[[#This Row],[Column5]]/Table1567891121[[#This Row],[Column2]]*100</f>
        <v>0</v>
      </c>
      <c r="Q25" t="e">
        <f>Table1567891121[[#This Row],[Column102]]/Table1567891121[[#This Row],[Column5]]*100</f>
        <v>#DIV/0!</v>
      </c>
      <c r="R25">
        <v>41</v>
      </c>
      <c r="S25">
        <v>15</v>
      </c>
      <c r="T25" s="4" t="s">
        <v>52</v>
      </c>
    </row>
    <row r="26" spans="4:20" x14ac:dyDescent="0.2">
      <c r="H26" s="15"/>
      <c r="I26" s="15"/>
      <c r="O26" s="16" t="e">
        <f>Table1567891121[[#This Row],[Column5]]/Table1567891121[[#This Row],[Column2]]*100</f>
        <v>#DIV/0!</v>
      </c>
      <c r="Q26" s="16" t="e">
        <f>Table1567891121[[#This Row],[Column102]]/Table1567891121[[#This Row],[Column5]]*100</f>
        <v>#DIV/0!</v>
      </c>
    </row>
    <row r="27" spans="4:20" x14ac:dyDescent="0.2">
      <c r="H27" s="15"/>
      <c r="I27" s="15"/>
      <c r="O27" s="16" t="e">
        <f>Table1567891121[[#This Row],[Column5]]/Table1567891121[[#This Row],[Column2]]*100</f>
        <v>#DIV/0!</v>
      </c>
      <c r="Q27" s="16" t="e">
        <f>Table1567891121[[#This Row],[Column102]]/Table1567891121[[#This Row],[Column5]]*100</f>
        <v>#DIV/0!</v>
      </c>
    </row>
    <row r="28" spans="4:20" x14ac:dyDescent="0.2">
      <c r="H28" s="15"/>
      <c r="I28" s="15"/>
      <c r="O28" s="16" t="e">
        <f>Table1567891121[[#This Row],[Column5]]/Table1567891121[[#This Row],[Column2]]*100</f>
        <v>#DIV/0!</v>
      </c>
      <c r="Q28" s="16" t="e">
        <f>Table1567891121[[#This Row],[Column102]]/Table1567891121[[#This Row],[Column5]]*100</f>
        <v>#DIV/0!</v>
      </c>
    </row>
    <row r="29" spans="4:20" ht="34" x14ac:dyDescent="0.2">
      <c r="D29" s="1" t="s">
        <v>172</v>
      </c>
      <c r="H29" s="15">
        <v>26</v>
      </c>
      <c r="I29" s="15">
        <v>22</v>
      </c>
      <c r="K29">
        <f>AVERAGE(K13:K25)</f>
        <v>0.63876923076923064</v>
      </c>
      <c r="O29" s="16" t="e">
        <f>Table1567891121[[#This Row],[Column5]]/Table1567891121[[#This Row],[Column2]]*100</f>
        <v>#DIV/0!</v>
      </c>
      <c r="Q29" s="16" t="e">
        <f>Table1567891121[[#This Row],[Column102]]/Table1567891121[[#This Row],[Column5]]*100</f>
        <v>#DIV/0!</v>
      </c>
    </row>
    <row r="30" spans="4:20" ht="34" x14ac:dyDescent="0.2">
      <c r="D30" s="1" t="s">
        <v>162</v>
      </c>
      <c r="H30" s="15">
        <f>H12/H29*100</f>
        <v>0.89445438282647594</v>
      </c>
      <c r="I30" s="15">
        <f>H12/I29*100</f>
        <v>1.0570824524312898</v>
      </c>
      <c r="K30" s="23">
        <f>K12/K29*100</f>
        <v>115.37813102119463</v>
      </c>
      <c r="O30" s="16" t="e">
        <f>Table1567891121[[#This Row],[Column5]]/Table1567891121[[#This Row],[Column2]]*100</f>
        <v>#DIV/0!</v>
      </c>
      <c r="Q30" s="16" t="e">
        <f>Table1567891121[[#This Row],[Column102]]/Table1567891121[[#This Row],[Column5]]*100</f>
        <v>#DIV/0!</v>
      </c>
    </row>
    <row r="31" spans="4:20" x14ac:dyDescent="0.2">
      <c r="H31" s="15"/>
      <c r="I31" s="15"/>
      <c r="O31" s="16" t="e">
        <f>Table1567891121[[#This Row],[Column5]]/Table1567891121[[#This Row],[Column2]]*100</f>
        <v>#DIV/0!</v>
      </c>
      <c r="Q31" s="16" t="e">
        <f>Table1567891121[[#This Row],[Column102]]/Table1567891121[[#This Row],[Column5]]*100</f>
        <v>#DIV/0!</v>
      </c>
    </row>
    <row r="32" spans="4:20" x14ac:dyDescent="0.2">
      <c r="H32" s="15"/>
      <c r="I32" s="15"/>
      <c r="O32" s="16" t="e">
        <f>Table1567891121[[#This Row],[Column5]]/Table1567891121[[#This Row],[Column2]]*100</f>
        <v>#DIV/0!</v>
      </c>
      <c r="Q32" s="16" t="e">
        <f>Table1567891121[[#This Row],[Column102]]/Table1567891121[[#This Row],[Column5]]*100</f>
        <v>#DIV/0!</v>
      </c>
    </row>
    <row r="33" spans="5:20" x14ac:dyDescent="0.2">
      <c r="E33" s="17"/>
      <c r="F33" s="17"/>
      <c r="G33" s="17"/>
      <c r="H33" s="18"/>
      <c r="I33" s="18"/>
      <c r="J33" s="17"/>
      <c r="K33" s="17"/>
      <c r="L33" s="17"/>
      <c r="M33" s="17"/>
      <c r="N33" s="17"/>
      <c r="O33" s="19" t="e">
        <f>Table1567891121[[#This Row],[Column5]]/Table1567891121[[#This Row],[Column2]]*100</f>
        <v>#DIV/0!</v>
      </c>
      <c r="P33" s="17"/>
      <c r="Q33" s="19" t="e">
        <f>Table1567891121[[#This Row],[Column102]]/Table1567891121[[#This Row],[Column5]]*100</f>
        <v>#DIV/0!</v>
      </c>
      <c r="R33" s="17"/>
      <c r="S33" s="17"/>
      <c r="T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D9:R33"/>
  <sheetViews>
    <sheetView topLeftCell="A7" workbookViewId="0">
      <selection activeCell="G7" sqref="G1:G1048576"/>
    </sheetView>
  </sheetViews>
  <sheetFormatPr baseColWidth="10" defaultRowHeight="16" x14ac:dyDescent="0.2"/>
  <sheetData>
    <row r="9" spans="4:18" ht="85" x14ac:dyDescent="0.2">
      <c r="E9" s="1" t="s">
        <v>176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9" t="s">
        <v>39</v>
      </c>
      <c r="E11" t="s">
        <v>133</v>
      </c>
      <c r="F11">
        <v>0.7</v>
      </c>
      <c r="G11">
        <v>118</v>
      </c>
      <c r="H11" s="15">
        <f>Table1567891016[[#This Row],[Column102]]/Table1567891016[[#This Row],[Column2]]*0.1</f>
        <v>16.857142857142858</v>
      </c>
      <c r="I11" s="15">
        <f>Table1567891016[[#This Row],[Column102]]/Table1567891016[[#This Row],[Column2]]*0.1</f>
        <v>16.857142857142858</v>
      </c>
      <c r="J11">
        <v>14</v>
      </c>
      <c r="M11">
        <f>Table1567891016[[#This Row],[Column5]]/Table1567891016[[#This Row],[Column2]]*100</f>
        <v>0</v>
      </c>
      <c r="O11" t="e">
        <f>Table1567891016[[#This Row],[Column102]]/Table1567891016[[#This Row],[Column5]]*100</f>
        <v>#DIV/0!</v>
      </c>
      <c r="Q11">
        <v>118</v>
      </c>
      <c r="R11">
        <v>1</v>
      </c>
    </row>
    <row r="12" spans="4:18" ht="34" x14ac:dyDescent="0.2">
      <c r="D12" s="10" t="s">
        <v>23</v>
      </c>
      <c r="E12">
        <v>2001</v>
      </c>
      <c r="F12">
        <v>1.7</v>
      </c>
      <c r="G12">
        <v>800</v>
      </c>
      <c r="H12" s="15">
        <f>Table1567891016[[#This Row],[Column102]]/Table1567891016[[#This Row],[Column2]]*0.1</f>
        <v>47.058823529411768</v>
      </c>
      <c r="I12" s="15"/>
      <c r="J12">
        <v>7</v>
      </c>
      <c r="M12">
        <f>Table1567891016[[#This Row],[Column5]]/Table1567891016[[#This Row],[Column2]]*100</f>
        <v>0</v>
      </c>
      <c r="O12" t="e">
        <f>Table1567891016[[#This Row],[Column102]]/Table1567891016[[#This Row],[Column5]]*100</f>
        <v>#DIV/0!</v>
      </c>
      <c r="Q12">
        <v>800</v>
      </c>
      <c r="R12">
        <v>2</v>
      </c>
    </row>
    <row r="13" spans="4:18" x14ac:dyDescent="0.2">
      <c r="D13" s="4" t="s">
        <v>58</v>
      </c>
      <c r="E13">
        <v>2003</v>
      </c>
      <c r="F13">
        <v>2.2000000000000002</v>
      </c>
      <c r="G13">
        <v>1063</v>
      </c>
      <c r="H13" s="15">
        <f>Table1567891016[[#This Row],[Column102]]/Table1567891016[[#This Row],[Column2]]*0.1</f>
        <v>48.318181818181813</v>
      </c>
      <c r="I13" s="15">
        <f>Table1567891016[[#This Row],[Column102]]/Table1567891016[[#This Row],[Column2]]*0.1</f>
        <v>48.318181818181813</v>
      </c>
      <c r="J13">
        <v>6</v>
      </c>
      <c r="M13">
        <f>Table1567891016[[#This Row],[Column5]]/Table1567891016[[#This Row],[Column2]]*100</f>
        <v>0</v>
      </c>
      <c r="O13" t="e">
        <f>Table1567891016[[#This Row],[Column102]]/Table1567891016[[#This Row],[Column5]]*100</f>
        <v>#DIV/0!</v>
      </c>
      <c r="Q13">
        <v>1063</v>
      </c>
      <c r="R13">
        <v>3</v>
      </c>
    </row>
    <row r="14" spans="4:18" x14ac:dyDescent="0.2">
      <c r="D14" s="7" t="s">
        <v>38</v>
      </c>
      <c r="E14" t="s">
        <v>160</v>
      </c>
      <c r="F14">
        <v>58</v>
      </c>
      <c r="G14">
        <v>906</v>
      </c>
      <c r="H14" s="15">
        <f>Table1567891016[[#This Row],[Column102]]/Table1567891016[[#This Row],[Column2]]*0.1</f>
        <v>1.5620689655172415</v>
      </c>
      <c r="I14" s="15"/>
      <c r="J14">
        <v>15</v>
      </c>
      <c r="M14">
        <f>Table1567891016[[#This Row],[Column5]]/Table1567891016[[#This Row],[Column2]]*100</f>
        <v>0</v>
      </c>
      <c r="O14" t="e">
        <f>Table1567891016[[#This Row],[Column102]]/Table1567891016[[#This Row],[Column5]]*100</f>
        <v>#DIV/0!</v>
      </c>
      <c r="Q14">
        <v>906</v>
      </c>
      <c r="R14">
        <v>4</v>
      </c>
    </row>
    <row r="15" spans="4:18" x14ac:dyDescent="0.2">
      <c r="D15" s="4" t="s">
        <v>61</v>
      </c>
      <c r="E15" t="s">
        <v>142</v>
      </c>
      <c r="F15">
        <v>0.67</v>
      </c>
      <c r="G15">
        <v>483</v>
      </c>
      <c r="H15" s="15">
        <f>Table1567891016[[#This Row],[Column102]]/Table1567891016[[#This Row],[Column2]]*0.1</f>
        <v>72.089552238805979</v>
      </c>
      <c r="I15" s="15">
        <f>Table1567891016[[#This Row],[Column102]]/Table1567891016[[#This Row],[Column2]]*0.1</f>
        <v>72.089552238805979</v>
      </c>
      <c r="J15">
        <v>4</v>
      </c>
      <c r="M15">
        <f>Table1567891016[[#This Row],[Column5]]/Table1567891016[[#This Row],[Column2]]*100</f>
        <v>0</v>
      </c>
      <c r="O15" t="e">
        <f>Table1567891016[[#This Row],[Column102]]/Table1567891016[[#This Row],[Column5]]*100</f>
        <v>#DIV/0!</v>
      </c>
      <c r="Q15">
        <v>483</v>
      </c>
      <c r="R15">
        <v>5</v>
      </c>
    </row>
    <row r="16" spans="4:18" x14ac:dyDescent="0.2">
      <c r="D16" s="7" t="s">
        <v>43</v>
      </c>
      <c r="E16">
        <v>2001</v>
      </c>
      <c r="F16">
        <v>0.8</v>
      </c>
      <c r="G16">
        <v>671</v>
      </c>
      <c r="H16" s="15">
        <f>Table1567891016[[#This Row],[Column102]]/Table1567891016[[#This Row],[Column2]]*0.1</f>
        <v>83.875</v>
      </c>
      <c r="I16" s="15">
        <f>Table1567891016[[#This Row],[Column102]]/Table1567891016[[#This Row],[Column2]]*0.1</f>
        <v>83.875</v>
      </c>
      <c r="J16">
        <v>2</v>
      </c>
      <c r="M16">
        <f>Table1567891016[[#This Row],[Column5]]/Table1567891016[[#This Row],[Column2]]*100</f>
        <v>0</v>
      </c>
      <c r="O16" t="e">
        <f>Table1567891016[[#This Row],[Column102]]/Table1567891016[[#This Row],[Column5]]*100</f>
        <v>#DIV/0!</v>
      </c>
      <c r="Q16">
        <v>671</v>
      </c>
      <c r="R16">
        <v>6</v>
      </c>
    </row>
    <row r="17" spans="4:18" x14ac:dyDescent="0.2">
      <c r="D17" s="4" t="s">
        <v>64</v>
      </c>
      <c r="E17" t="s">
        <v>143</v>
      </c>
      <c r="F17">
        <v>1</v>
      </c>
      <c r="G17">
        <v>270</v>
      </c>
      <c r="H17" s="15">
        <f>Table1567891016[[#This Row],[Column102]]/Table1567891016[[#This Row],[Column2]]*0.1</f>
        <v>27</v>
      </c>
      <c r="I17" s="15">
        <f>Table1567891016[[#This Row],[Column102]]/Table1567891016[[#This Row],[Column2]]*0.1</f>
        <v>27</v>
      </c>
      <c r="J17">
        <v>10</v>
      </c>
      <c r="M17">
        <f>Table1567891016[[#This Row],[Column5]]/Table1567891016[[#This Row],[Column2]]*100</f>
        <v>0</v>
      </c>
      <c r="O17" t="e">
        <f>Table1567891016[[#This Row],[Column102]]/Table1567891016[[#This Row],[Column5]]*100</f>
        <v>#DIV/0!</v>
      </c>
      <c r="Q17">
        <v>270</v>
      </c>
      <c r="R17">
        <v>7</v>
      </c>
    </row>
    <row r="18" spans="4:18" x14ac:dyDescent="0.2">
      <c r="D18" s="7" t="s">
        <v>65</v>
      </c>
      <c r="E18">
        <v>2002</v>
      </c>
      <c r="F18">
        <v>0.4</v>
      </c>
      <c r="G18">
        <v>817</v>
      </c>
      <c r="H18" s="15">
        <f>Table1567891016[[#This Row],[Column102]]/Table1567891016[[#This Row],[Column2]]*0.1</f>
        <v>204.25</v>
      </c>
      <c r="I18" s="15"/>
      <c r="J18">
        <v>1</v>
      </c>
      <c r="M18">
        <f>Table1567891016[[#This Row],[Column5]]/Table1567891016[[#This Row],[Column2]]*100</f>
        <v>0</v>
      </c>
      <c r="O18" t="e">
        <f>Table1567891016[[#This Row],[Column102]]/Table1567891016[[#This Row],[Column5]]*100</f>
        <v>#DIV/0!</v>
      </c>
      <c r="Q18">
        <v>817</v>
      </c>
      <c r="R18">
        <v>8</v>
      </c>
    </row>
    <row r="19" spans="4:18" x14ac:dyDescent="0.2">
      <c r="D19" s="4" t="s">
        <v>47</v>
      </c>
      <c r="E19" t="s">
        <v>144</v>
      </c>
      <c r="F19">
        <v>0.95</v>
      </c>
      <c r="G19">
        <v>178</v>
      </c>
      <c r="H19" s="15">
        <f>Table1567891016[[#This Row],[Column102]]/Table1567891016[[#This Row],[Column2]]*0.1</f>
        <v>18.736842105263161</v>
      </c>
      <c r="I19" s="15">
        <f>Table1567891016[[#This Row],[Column102]]/Table1567891016[[#This Row],[Column2]]*0.1</f>
        <v>18.736842105263161</v>
      </c>
      <c r="J19">
        <v>13</v>
      </c>
      <c r="M19">
        <f>Table1567891016[[#This Row],[Column5]]/Table1567891016[[#This Row],[Column2]]*100</f>
        <v>0</v>
      </c>
      <c r="O19" t="e">
        <f>Table1567891016[[#This Row],[Column102]]/Table1567891016[[#This Row],[Column5]]*100</f>
        <v>#DIV/0!</v>
      </c>
      <c r="Q19">
        <v>178</v>
      </c>
      <c r="R19">
        <v>9</v>
      </c>
    </row>
    <row r="20" spans="4:18" x14ac:dyDescent="0.2">
      <c r="D20" s="7" t="s">
        <v>37</v>
      </c>
      <c r="E20" t="s">
        <v>145</v>
      </c>
      <c r="F20">
        <v>3.1</v>
      </c>
      <c r="G20">
        <v>902</v>
      </c>
      <c r="H20" s="15">
        <f>Table1567891016[[#This Row],[Column102]]/Table1567891016[[#This Row],[Column2]]*0.1</f>
        <v>29.096774193548384</v>
      </c>
      <c r="I20" s="15">
        <f>Table1567891016[[#This Row],[Column102]]/Table1567891016[[#This Row],[Column2]]*0.1</f>
        <v>29.096774193548384</v>
      </c>
      <c r="J20">
        <v>9</v>
      </c>
      <c r="M20">
        <f>Table1567891016[[#This Row],[Column5]]/Table1567891016[[#This Row],[Column2]]*100</f>
        <v>0</v>
      </c>
      <c r="O20" t="e">
        <f>Table1567891016[[#This Row],[Column102]]/Table1567891016[[#This Row],[Column5]]*100</f>
        <v>#DIV/0!</v>
      </c>
      <c r="Q20">
        <v>902</v>
      </c>
      <c r="R20">
        <v>10</v>
      </c>
    </row>
    <row r="21" spans="4:18" x14ac:dyDescent="0.2">
      <c r="D21" s="4" t="s">
        <v>33</v>
      </c>
      <c r="E21" t="s">
        <v>146</v>
      </c>
      <c r="F21">
        <v>0.4</v>
      </c>
      <c r="G21">
        <v>75</v>
      </c>
      <c r="H21" s="15">
        <f>Table1567891016[[#This Row],[Column102]]/Table1567891016[[#This Row],[Column2]]*0.1</f>
        <v>18.75</v>
      </c>
      <c r="I21" s="15">
        <f>Table1567891016[[#This Row],[Column102]]/Table1567891016[[#This Row],[Column2]]*0.1</f>
        <v>18.75</v>
      </c>
      <c r="J21">
        <v>12</v>
      </c>
      <c r="M21">
        <f>Table1567891016[[#This Row],[Column5]]/Table1567891016[[#This Row],[Column2]]*100</f>
        <v>0</v>
      </c>
      <c r="O21" t="e">
        <f>Table1567891016[[#This Row],[Column102]]/Table1567891016[[#This Row],[Column5]]*100</f>
        <v>#DIV/0!</v>
      </c>
      <c r="Q21">
        <v>75</v>
      </c>
      <c r="R21">
        <v>11</v>
      </c>
    </row>
    <row r="22" spans="4:18" x14ac:dyDescent="0.2">
      <c r="D22" s="7" t="s">
        <v>30</v>
      </c>
      <c r="E22" t="s">
        <v>143</v>
      </c>
      <c r="F22">
        <v>0.15</v>
      </c>
      <c r="G22">
        <v>69</v>
      </c>
      <c r="H22" s="15">
        <f>Table1567891016[[#This Row],[Column102]]/Table1567891016[[#This Row],[Column2]]*0.1</f>
        <v>46</v>
      </c>
      <c r="I22" s="15">
        <f>Table1567891016[[#This Row],[Column102]]/Table1567891016[[#This Row],[Column2]]*0.1</f>
        <v>46</v>
      </c>
      <c r="J22">
        <v>8</v>
      </c>
      <c r="M22">
        <f>Table1567891016[[#This Row],[Column5]]/Table1567891016[[#This Row],[Column2]]*100</f>
        <v>0</v>
      </c>
      <c r="O22" t="e">
        <f>Table1567891016[[#This Row],[Column102]]/Table1567891016[[#This Row],[Column5]]*100</f>
        <v>#DIV/0!</v>
      </c>
      <c r="Q22">
        <v>69</v>
      </c>
      <c r="R22">
        <v>12</v>
      </c>
    </row>
    <row r="23" spans="4:18" x14ac:dyDescent="0.2">
      <c r="D23" s="4" t="s">
        <v>66</v>
      </c>
      <c r="E23" t="s">
        <v>143</v>
      </c>
      <c r="F23">
        <v>0.26</v>
      </c>
      <c r="G23">
        <v>218</v>
      </c>
      <c r="H23" s="15">
        <f>Table1567891016[[#This Row],[Column102]]/Table1567891016[[#This Row],[Column2]]*0.1</f>
        <v>83.846153846153854</v>
      </c>
      <c r="I23" s="15">
        <f>Table1567891016[[#This Row],[Column102]]/Table1567891016[[#This Row],[Column2]]*0.1</f>
        <v>83.846153846153854</v>
      </c>
      <c r="J23">
        <v>3</v>
      </c>
      <c r="M23">
        <f>Table1567891016[[#This Row],[Column5]]/Table1567891016[[#This Row],[Column2]]*100</f>
        <v>0</v>
      </c>
      <c r="O23" t="e">
        <f>Table1567891016[[#This Row],[Column102]]/Table1567891016[[#This Row],[Column5]]*100</f>
        <v>#DIV/0!</v>
      </c>
      <c r="Q23">
        <v>218</v>
      </c>
      <c r="R23">
        <v>13</v>
      </c>
    </row>
    <row r="24" spans="4:18" x14ac:dyDescent="0.2">
      <c r="D24" s="7" t="s">
        <v>53</v>
      </c>
      <c r="E24">
        <v>2000</v>
      </c>
      <c r="F24">
        <v>0.36</v>
      </c>
      <c r="G24">
        <v>216</v>
      </c>
      <c r="H24" s="15">
        <f>Table1567891016[[#This Row],[Column102]]/Table1567891016[[#This Row],[Column2]]*0.1</f>
        <v>60</v>
      </c>
      <c r="I24" s="15">
        <f>Table1567891016[[#This Row],[Column102]]/Table1567891016[[#This Row],[Column2]]*0.1</f>
        <v>60</v>
      </c>
      <c r="J24">
        <v>5</v>
      </c>
      <c r="M24">
        <f>Table1567891016[[#This Row],[Column5]]/Table1567891016[[#This Row],[Column2]]*100</f>
        <v>0</v>
      </c>
      <c r="O24" t="e">
        <f>Table1567891016[[#This Row],[Column102]]/Table1567891016[[#This Row],[Column5]]*100</f>
        <v>#DIV/0!</v>
      </c>
      <c r="Q24">
        <v>216</v>
      </c>
      <c r="R24">
        <v>14</v>
      </c>
    </row>
    <row r="25" spans="4:18" x14ac:dyDescent="0.2">
      <c r="D25" s="4" t="s">
        <v>51</v>
      </c>
      <c r="E25" t="s">
        <v>144</v>
      </c>
      <c r="F25">
        <v>2.7</v>
      </c>
      <c r="G25">
        <v>567</v>
      </c>
      <c r="H25" s="15">
        <f>Table1567891016[[#This Row],[Column102]]/Table1567891016[[#This Row],[Column2]]*0.1</f>
        <v>21</v>
      </c>
      <c r="I25" s="15">
        <f>Table1567891016[[#This Row],[Column102]]/Table1567891016[[#This Row],[Column2]]*0.1</f>
        <v>21</v>
      </c>
      <c r="J25">
        <v>11</v>
      </c>
      <c r="M25">
        <f>Table1567891016[[#This Row],[Column5]]/Table1567891016[[#This Row],[Column2]]*100</f>
        <v>0</v>
      </c>
      <c r="O25" t="e">
        <f>Table1567891016[[#This Row],[Column102]]/Table1567891016[[#This Row],[Column5]]*100</f>
        <v>#DIV/0!</v>
      </c>
      <c r="Q25">
        <v>567</v>
      </c>
      <c r="R25">
        <v>15</v>
      </c>
    </row>
    <row r="26" spans="4:18" x14ac:dyDescent="0.2">
      <c r="H26" s="15"/>
      <c r="I26" s="15"/>
      <c r="M26" s="16" t="e">
        <f>Table1567891016[[#This Row],[Column5]]/Table1567891016[[#This Row],[Column2]]*100</f>
        <v>#DIV/0!</v>
      </c>
      <c r="O26" s="16" t="e">
        <f>Table1567891016[[#This Row],[Column102]]/Table1567891016[[#This Row],[Column5]]*100</f>
        <v>#DIV/0!</v>
      </c>
    </row>
    <row r="27" spans="4:18" x14ac:dyDescent="0.2">
      <c r="H27" s="15"/>
      <c r="I27" s="15"/>
      <c r="M27" s="16" t="e">
        <f>Table1567891016[[#This Row],[Column5]]/Table1567891016[[#This Row],[Column2]]*100</f>
        <v>#DIV/0!</v>
      </c>
      <c r="O27" s="16" t="e">
        <f>Table1567891016[[#This Row],[Column102]]/Table1567891016[[#This Row],[Column5]]*100</f>
        <v>#DIV/0!</v>
      </c>
    </row>
    <row r="28" spans="4:18" x14ac:dyDescent="0.2">
      <c r="H28" s="15"/>
      <c r="I28" s="15"/>
      <c r="M28" s="16" t="e">
        <f>Table1567891016[[#This Row],[Column5]]/Table1567891016[[#This Row],[Column2]]*100</f>
        <v>#DIV/0!</v>
      </c>
      <c r="O28" s="16" t="e">
        <f>Table1567891016[[#This Row],[Column102]]/Table1567891016[[#This Row],[Column5]]*100</f>
        <v>#DIV/0!</v>
      </c>
    </row>
    <row r="29" spans="4:18" ht="34" x14ac:dyDescent="0.2">
      <c r="D29" s="1" t="s">
        <v>172</v>
      </c>
      <c r="H29" s="15">
        <v>52</v>
      </c>
      <c r="I29" s="15">
        <v>44</v>
      </c>
      <c r="M29" s="16" t="e">
        <f>Table1567891016[[#This Row],[Column5]]/Table1567891016[[#This Row],[Column2]]*100</f>
        <v>#DIV/0!</v>
      </c>
      <c r="O29" s="16" t="e">
        <f>Table1567891016[[#This Row],[Column102]]/Table1567891016[[#This Row],[Column5]]*100</f>
        <v>#DIV/0!</v>
      </c>
    </row>
    <row r="30" spans="4:18" ht="34" x14ac:dyDescent="0.2">
      <c r="D30" s="1" t="s">
        <v>162</v>
      </c>
      <c r="H30" s="15">
        <f>H12/H29*100</f>
        <v>90.497737556561091</v>
      </c>
      <c r="I30" s="15">
        <f>H12/I29*100</f>
        <v>106.95187165775401</v>
      </c>
      <c r="M30" s="16" t="e">
        <f>Table1567891016[[#This Row],[Column5]]/Table1567891016[[#This Row],[Column2]]*100</f>
        <v>#DIV/0!</v>
      </c>
      <c r="O30" s="16" t="e">
        <f>Table1567891016[[#This Row],[Column102]]/Table1567891016[[#This Row],[Column5]]*100</f>
        <v>#DIV/0!</v>
      </c>
    </row>
    <row r="31" spans="4:18" x14ac:dyDescent="0.2">
      <c r="H31" s="15"/>
      <c r="I31" s="15"/>
      <c r="M31" s="16" t="e">
        <f>Table1567891016[[#This Row],[Column5]]/Table1567891016[[#This Row],[Column2]]*100</f>
        <v>#DIV/0!</v>
      </c>
      <c r="O31" s="16" t="e">
        <f>Table1567891016[[#This Row],[Column102]]/Table1567891016[[#This Row],[Column5]]*100</f>
        <v>#DIV/0!</v>
      </c>
    </row>
    <row r="32" spans="4:18" x14ac:dyDescent="0.2">
      <c r="H32" s="15"/>
      <c r="I32" s="15"/>
      <c r="M32" s="16" t="e">
        <f>Table1567891016[[#This Row],[Column5]]/Table1567891016[[#This Row],[Column2]]*100</f>
        <v>#DIV/0!</v>
      </c>
      <c r="O32" s="16" t="e">
        <f>Table1567891016[[#This Row],[Column102]]/Table1567891016[[#This Row],[Column5]]*100</f>
        <v>#DIV/0!</v>
      </c>
    </row>
    <row r="33" spans="5:18" x14ac:dyDescent="0.2">
      <c r="E33" s="17"/>
      <c r="F33" s="17"/>
      <c r="G33" s="17"/>
      <c r="H33" s="18"/>
      <c r="I33" s="18"/>
      <c r="J33" s="17"/>
      <c r="K33" s="17"/>
      <c r="L33" s="17"/>
      <c r="M33" s="19" t="e">
        <f>Table1567891016[[#This Row],[Column5]]/Table1567891016[[#This Row],[Column2]]*100</f>
        <v>#DIV/0!</v>
      </c>
      <c r="N33" s="17"/>
      <c r="O33" s="19" t="e">
        <f>Table1567891016[[#This Row],[Column102]]/Table1567891016[[#This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D9:R33"/>
  <sheetViews>
    <sheetView topLeftCell="A9" workbookViewId="0">
      <selection activeCell="G9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9" t="s">
        <v>67</v>
      </c>
      <c r="E11" t="s">
        <v>129</v>
      </c>
      <c r="F11">
        <v>0.6</v>
      </c>
      <c r="G11">
        <v>403</v>
      </c>
      <c r="H11" s="15">
        <f>Table1567891019[[#This Row],[Column102]]/Table1567891019[[#This Row],[Column2]]*0.1</f>
        <v>67.166666666666671</v>
      </c>
      <c r="I11" s="15">
        <f>Table1567891019[[#This Row],[Column102]]/Table1567891019[[#This Row],[Column2]]*0.1</f>
        <v>67.166666666666671</v>
      </c>
      <c r="J11">
        <v>2</v>
      </c>
      <c r="M11">
        <f>Table1567891019[[#This Row],[Column5]]/Table1567891019[[#This Row],[Column2]]*100</f>
        <v>0</v>
      </c>
      <c r="O11" t="e">
        <f>Table1567891019[[#This Row],[Column102]]/Table1567891019[[#This Row],[Column5]]*100</f>
        <v>#DIV/0!</v>
      </c>
      <c r="Q11">
        <v>403</v>
      </c>
      <c r="R11">
        <v>1</v>
      </c>
    </row>
    <row r="12" spans="4:18" ht="34" x14ac:dyDescent="0.2">
      <c r="D12" s="10" t="s">
        <v>68</v>
      </c>
      <c r="E12" t="s">
        <v>131</v>
      </c>
      <c r="F12">
        <v>1</v>
      </c>
      <c r="G12">
        <v>350</v>
      </c>
      <c r="H12" s="15">
        <f>Table1567891019[[#This Row],[Column102]]/Table1567891019[[#This Row],[Column2]]*0.1</f>
        <v>35</v>
      </c>
      <c r="I12" s="15">
        <f>Table1567891019[[#This Row],[Column102]]/Table1567891019[[#This Row],[Column2]]*0.1</f>
        <v>35</v>
      </c>
      <c r="J12">
        <v>5</v>
      </c>
      <c r="M12">
        <f>Table1567891019[[#This Row],[Column5]]/Table1567891019[[#This Row],[Column2]]*100</f>
        <v>0</v>
      </c>
      <c r="O12" t="e">
        <f>Table1567891019[[#This Row],[Column102]]/Table1567891019[[#This Row],[Column5]]*100</f>
        <v>#DIV/0!</v>
      </c>
      <c r="Q12">
        <v>350</v>
      </c>
      <c r="R12">
        <v>2</v>
      </c>
    </row>
    <row r="13" spans="4:18" ht="34" x14ac:dyDescent="0.2">
      <c r="D13" s="9" t="s">
        <v>39</v>
      </c>
      <c r="E13" t="s">
        <v>133</v>
      </c>
      <c r="F13">
        <v>0.7</v>
      </c>
      <c r="G13">
        <v>178</v>
      </c>
      <c r="H13" s="15">
        <f>Table1567891019[[#This Row],[Column102]]/Table1567891019[[#This Row],[Column2]]*0.1</f>
        <v>25.428571428571431</v>
      </c>
      <c r="I13" s="15">
        <f>Table1567891019[[#This Row],[Column102]]/Table1567891019[[#This Row],[Column2]]*0.1</f>
        <v>25.428571428571431</v>
      </c>
      <c r="J13">
        <v>9</v>
      </c>
      <c r="M13">
        <f>Table1567891019[[#This Row],[Column5]]/Table1567891019[[#This Row],[Column2]]*100</f>
        <v>0</v>
      </c>
      <c r="O13" t="e">
        <f>Table1567891019[[#This Row],[Column102]]/Table1567891019[[#This Row],[Column5]]*100</f>
        <v>#DIV/0!</v>
      </c>
      <c r="Q13">
        <v>178</v>
      </c>
      <c r="R13">
        <v>3</v>
      </c>
    </row>
    <row r="14" spans="4:18" ht="34" x14ac:dyDescent="0.2">
      <c r="D14" s="10" t="s">
        <v>23</v>
      </c>
      <c r="E14">
        <v>2003</v>
      </c>
      <c r="F14">
        <v>1.2</v>
      </c>
      <c r="G14">
        <v>636</v>
      </c>
      <c r="H14" s="15">
        <v>53</v>
      </c>
      <c r="I14" s="15"/>
      <c r="J14">
        <v>4</v>
      </c>
      <c r="M14">
        <f>Table1567891019[[#This Row],[Column5]]/Table1567891019[[#This Row],[Column2]]*100</f>
        <v>0</v>
      </c>
      <c r="O14" t="e">
        <f>Table1567891019[[#This Row],[Column102]]/Table1567891019[[#This Row],[Column5]]*100</f>
        <v>#DIV/0!</v>
      </c>
      <c r="Q14">
        <v>636</v>
      </c>
      <c r="R14">
        <v>4</v>
      </c>
    </row>
    <row r="15" spans="4:18" x14ac:dyDescent="0.2">
      <c r="D15" s="4" t="s">
        <v>58</v>
      </c>
      <c r="E15" t="s">
        <v>132</v>
      </c>
      <c r="F15">
        <v>2.2000000000000002</v>
      </c>
      <c r="G15">
        <v>737</v>
      </c>
      <c r="H15" s="15">
        <f>Table1567891019[[#This Row],[Column102]]/Table1567891019[[#This Row],[Column2]]*0.1</f>
        <v>33.5</v>
      </c>
      <c r="I15" s="15">
        <f>Table1567891019[[#This Row],[Column102]]/Table1567891019[[#This Row],[Column2]]*0.1</f>
        <v>33.5</v>
      </c>
      <c r="J15">
        <v>6</v>
      </c>
      <c r="M15">
        <f>Table1567891019[[#This Row],[Column5]]/Table1567891019[[#This Row],[Column2]]*100</f>
        <v>0</v>
      </c>
      <c r="O15" t="e">
        <f>Table1567891019[[#This Row],[Column102]]/Table1567891019[[#This Row],[Column5]]*100</f>
        <v>#DIV/0!</v>
      </c>
      <c r="Q15">
        <v>737</v>
      </c>
      <c r="R15">
        <v>5</v>
      </c>
    </row>
    <row r="16" spans="4:18" x14ac:dyDescent="0.2">
      <c r="D16" s="7" t="s">
        <v>38</v>
      </c>
      <c r="E16">
        <v>2001</v>
      </c>
      <c r="F16">
        <v>42.4</v>
      </c>
      <c r="G16">
        <v>800</v>
      </c>
      <c r="H16" s="15">
        <f>Table1567891019[[#This Row],[Column102]]/Table1567891019[[#This Row],[Column2]]*0.1</f>
        <v>1.8867924528301889</v>
      </c>
      <c r="I16" s="15"/>
      <c r="J16">
        <v>15</v>
      </c>
      <c r="M16">
        <f>Table1567891019[[#This Row],[Column5]]/Table1567891019[[#This Row],[Column2]]*100</f>
        <v>0</v>
      </c>
      <c r="O16" t="e">
        <f>Table1567891019[[#This Row],[Column102]]/Table1567891019[[#This Row],[Column5]]*100</f>
        <v>#DIV/0!</v>
      </c>
      <c r="Q16">
        <v>800</v>
      </c>
      <c r="R16">
        <v>6</v>
      </c>
    </row>
    <row r="17" spans="4:18" x14ac:dyDescent="0.2">
      <c r="D17" s="4" t="s">
        <v>47</v>
      </c>
      <c r="E17" t="s">
        <v>139</v>
      </c>
      <c r="F17">
        <v>0.9</v>
      </c>
      <c r="G17">
        <v>152</v>
      </c>
      <c r="H17" s="15">
        <f>Table1567891019[[#This Row],[Column102]]/Table1567891019[[#This Row],[Column2]]*0.1</f>
        <v>16.888888888888889</v>
      </c>
      <c r="I17" s="15">
        <f>Table1567891019[[#This Row],[Column102]]/Table1567891019[[#This Row],[Column2]]*0.1</f>
        <v>16.888888888888889</v>
      </c>
      <c r="J17">
        <v>12</v>
      </c>
      <c r="M17">
        <f>Table1567891019[[#This Row],[Column5]]/Table1567891019[[#This Row],[Column2]]*100</f>
        <v>0</v>
      </c>
      <c r="O17" t="e">
        <f>Table1567891019[[#This Row],[Column102]]/Table1567891019[[#This Row],[Column5]]*100</f>
        <v>#DIV/0!</v>
      </c>
      <c r="Q17">
        <v>152</v>
      </c>
      <c r="R17">
        <v>7</v>
      </c>
    </row>
    <row r="18" spans="4:18" x14ac:dyDescent="0.2">
      <c r="D18" s="7" t="s">
        <v>64</v>
      </c>
      <c r="E18" t="s">
        <v>140</v>
      </c>
      <c r="F18">
        <v>0.9</v>
      </c>
      <c r="G18">
        <v>252</v>
      </c>
      <c r="H18" s="15">
        <f>Table1567891019[[#This Row],[Column102]]/Table1567891019[[#This Row],[Column2]]*0.1</f>
        <v>28</v>
      </c>
      <c r="I18" s="15">
        <f>Table1567891019[[#This Row],[Column102]]/Table1567891019[[#This Row],[Column2]]*0.1</f>
        <v>28</v>
      </c>
      <c r="J18">
        <v>7</v>
      </c>
      <c r="M18">
        <f>Table1567891019[[#This Row],[Column5]]/Table1567891019[[#This Row],[Column2]]*100</f>
        <v>0</v>
      </c>
      <c r="O18" t="e">
        <f>Table1567891019[[#This Row],[Column102]]/Table1567891019[[#This Row],[Column5]]*100</f>
        <v>#DIV/0!</v>
      </c>
      <c r="Q18">
        <v>252</v>
      </c>
      <c r="R18">
        <v>8</v>
      </c>
    </row>
    <row r="19" spans="4:18" x14ac:dyDescent="0.2">
      <c r="D19" s="4" t="s">
        <v>69</v>
      </c>
      <c r="E19">
        <v>2003</v>
      </c>
      <c r="F19">
        <v>0.14000000000000001</v>
      </c>
      <c r="G19">
        <v>12</v>
      </c>
      <c r="H19" s="15">
        <f>Table1567891019[[#This Row],[Column102]]/Table1567891019[[#This Row],[Column2]]*0.1</f>
        <v>8.5714285714285712</v>
      </c>
      <c r="I19" s="15">
        <f>Table1567891019[[#This Row],[Column102]]/Table1567891019[[#This Row],[Column2]]*0.1</f>
        <v>8.5714285714285712</v>
      </c>
      <c r="J19">
        <v>13</v>
      </c>
      <c r="M19">
        <f>Table1567891019[[#This Row],[Column5]]/Table1567891019[[#This Row],[Column2]]*100</f>
        <v>0</v>
      </c>
      <c r="O19" t="e">
        <f>Table1567891019[[#This Row],[Column102]]/Table1567891019[[#This Row],[Column5]]*100</f>
        <v>#DIV/0!</v>
      </c>
      <c r="Q19">
        <v>12</v>
      </c>
      <c r="R19">
        <v>9</v>
      </c>
    </row>
    <row r="20" spans="4:18" x14ac:dyDescent="0.2">
      <c r="D20" s="7" t="s">
        <v>37</v>
      </c>
      <c r="E20">
        <v>2001</v>
      </c>
      <c r="F20">
        <v>3.1</v>
      </c>
      <c r="G20">
        <v>554</v>
      </c>
      <c r="H20" s="15">
        <f>Table1567891019[[#This Row],[Column102]]/Table1567891019[[#This Row],[Column2]]*0.1</f>
        <v>17.870967741935484</v>
      </c>
      <c r="I20" s="15">
        <f>Table1567891019[[#This Row],[Column102]]/Table1567891019[[#This Row],[Column2]]*0.1</f>
        <v>17.870967741935484</v>
      </c>
      <c r="J20">
        <v>11</v>
      </c>
      <c r="M20">
        <f>Table1567891019[[#This Row],[Column5]]/Table1567891019[[#This Row],[Column2]]*100</f>
        <v>0</v>
      </c>
      <c r="O20" t="e">
        <f>Table1567891019[[#This Row],[Column102]]/Table1567891019[[#This Row],[Column5]]*100</f>
        <v>#DIV/0!</v>
      </c>
      <c r="Q20">
        <v>554</v>
      </c>
      <c r="R20">
        <v>10</v>
      </c>
    </row>
    <row r="21" spans="4:18" x14ac:dyDescent="0.2">
      <c r="D21" s="4" t="s">
        <v>43</v>
      </c>
      <c r="E21">
        <v>2002</v>
      </c>
      <c r="F21">
        <v>0.9</v>
      </c>
      <c r="G21">
        <v>561</v>
      </c>
      <c r="H21" s="15">
        <f>Table1567891019[[#This Row],[Column102]]/Table1567891019[[#This Row],[Column2]]*0.1</f>
        <v>62.333333333333343</v>
      </c>
      <c r="I21" s="15">
        <f>Table1567891019[[#This Row],[Column102]]/Table1567891019[[#This Row],[Column2]]*0.1</f>
        <v>62.333333333333343</v>
      </c>
      <c r="J21">
        <v>3</v>
      </c>
      <c r="M21">
        <f>Table1567891019[[#This Row],[Column5]]/Table1567891019[[#This Row],[Column2]]*100</f>
        <v>0</v>
      </c>
      <c r="O21" t="e">
        <f>Table1567891019[[#This Row],[Column102]]/Table1567891019[[#This Row],[Column5]]*100</f>
        <v>#DIV/0!</v>
      </c>
      <c r="Q21">
        <v>561</v>
      </c>
      <c r="R21">
        <v>11</v>
      </c>
    </row>
    <row r="22" spans="4:18" ht="51" x14ac:dyDescent="0.2">
      <c r="D22" s="10" t="s">
        <v>70</v>
      </c>
      <c r="E22" t="s">
        <v>140</v>
      </c>
      <c r="F22">
        <v>4.3</v>
      </c>
      <c r="G22">
        <v>1134</v>
      </c>
      <c r="H22" s="15">
        <f>Table1567891019[[#This Row],[Column102]]/Table1567891019[[#This Row],[Column2]]*0.1</f>
        <v>26.372093023255815</v>
      </c>
      <c r="I22" s="15">
        <f>Table1567891019[[#This Row],[Column102]]/Table1567891019[[#This Row],[Column2]]*0.1</f>
        <v>26.372093023255815</v>
      </c>
      <c r="J22">
        <v>8</v>
      </c>
      <c r="M22">
        <f>Table1567891019[[#This Row],[Column5]]/Table1567891019[[#This Row],[Column2]]*100</f>
        <v>0</v>
      </c>
      <c r="O22" t="e">
        <f>Table1567891019[[#This Row],[Column102]]/Table1567891019[[#This Row],[Column5]]*100</f>
        <v>#DIV/0!</v>
      </c>
      <c r="Q22">
        <v>1134</v>
      </c>
      <c r="R22">
        <v>12</v>
      </c>
    </row>
    <row r="23" spans="4:18" x14ac:dyDescent="0.2">
      <c r="D23" s="4" t="s">
        <v>61</v>
      </c>
      <c r="E23" t="s">
        <v>138</v>
      </c>
      <c r="F23">
        <v>1.5</v>
      </c>
      <c r="G23">
        <v>310</v>
      </c>
      <c r="H23" s="15">
        <f>Table1567891019[[#This Row],[Column102]]/Table1567891019[[#This Row],[Column2]]*0.1</f>
        <v>20.666666666666668</v>
      </c>
      <c r="I23" s="15">
        <f>Table1567891019[[#This Row],[Column102]]/Table1567891019[[#This Row],[Column2]]*0.1</f>
        <v>20.666666666666668</v>
      </c>
      <c r="J23">
        <v>10</v>
      </c>
      <c r="M23">
        <f>Table1567891019[[#This Row],[Column5]]/Table1567891019[[#This Row],[Column2]]*100</f>
        <v>0</v>
      </c>
      <c r="O23" t="e">
        <f>Table1567891019[[#This Row],[Column102]]/Table1567891019[[#This Row],[Column5]]*100</f>
        <v>#DIV/0!</v>
      </c>
      <c r="Q23">
        <v>310</v>
      </c>
      <c r="R23">
        <v>13</v>
      </c>
    </row>
    <row r="24" spans="4:18" x14ac:dyDescent="0.2">
      <c r="D24" s="7" t="s">
        <v>53</v>
      </c>
      <c r="E24">
        <v>2002</v>
      </c>
      <c r="F24">
        <v>0.3</v>
      </c>
      <c r="G24">
        <v>217</v>
      </c>
      <c r="H24" s="15">
        <f>Table1567891019[[#This Row],[Column102]]/Table1567891019[[#This Row],[Column2]]*0.1</f>
        <v>72.333333333333343</v>
      </c>
      <c r="I24" s="15"/>
      <c r="J24">
        <v>1</v>
      </c>
      <c r="M24">
        <f>Table1567891019[[#This Row],[Column5]]/Table1567891019[[#This Row],[Column2]]*100</f>
        <v>0</v>
      </c>
      <c r="O24" t="e">
        <f>Table1567891019[[#This Row],[Column102]]/Table1567891019[[#This Row],[Column5]]*100</f>
        <v>#DIV/0!</v>
      </c>
      <c r="Q24">
        <v>217</v>
      </c>
      <c r="R24">
        <v>14</v>
      </c>
    </row>
    <row r="25" spans="4:18" x14ac:dyDescent="0.2">
      <c r="D25" s="4" t="s">
        <v>33</v>
      </c>
      <c r="E25" t="s">
        <v>141</v>
      </c>
      <c r="F25">
        <v>0.4</v>
      </c>
      <c r="G25">
        <v>34</v>
      </c>
      <c r="H25" s="15">
        <f>Table1567891019[[#This Row],[Column102]]/Table1567891019[[#This Row],[Column2]]*0.1</f>
        <v>8.5</v>
      </c>
      <c r="I25" s="15">
        <f>Table1567891019[[#This Row],[Column102]]/Table1567891019[[#This Row],[Column2]]*0.1</f>
        <v>8.5</v>
      </c>
      <c r="J25">
        <v>14</v>
      </c>
      <c r="M25">
        <f>Table1567891019[[#This Row],[Column5]]/Table1567891019[[#This Row],[Column2]]*100</f>
        <v>0</v>
      </c>
      <c r="O25" t="e">
        <f>Table1567891019[[#This Row],[Column102]]/Table1567891019[[#This Row],[Column5]]*100</f>
        <v>#DIV/0!</v>
      </c>
      <c r="Q25">
        <v>34</v>
      </c>
      <c r="R25">
        <v>15</v>
      </c>
    </row>
    <row r="26" spans="4:18" x14ac:dyDescent="0.2">
      <c r="H26" s="15"/>
      <c r="I26" s="15">
        <f>AVERAGE(I11:I25)</f>
        <v>29.191551360062245</v>
      </c>
      <c r="M26" s="16" t="e">
        <f>Table1567891019[[#This Row],[Column5]]/Table1567891019[[#This Row],[Column2]]*100</f>
        <v>#DIV/0!</v>
      </c>
      <c r="O26" s="16" t="e">
        <f>Table1567891019[[#This Row],[Column102]]/Table1567891019[[#This Row],[Column5]]*100</f>
        <v>#DIV/0!</v>
      </c>
    </row>
    <row r="27" spans="4:18" x14ac:dyDescent="0.2">
      <c r="H27" s="16"/>
      <c r="I27" s="15"/>
      <c r="M27" s="16" t="e">
        <f>Table1567891019[[#This Row],[Column5]]/Table1567891019[[#This Row],[Column2]]*100</f>
        <v>#DIV/0!</v>
      </c>
      <c r="O27" s="16" t="e">
        <f>Table1567891019[[#This Row],[Column102]]/Table1567891019[[#This Row],[Column5]]*100</f>
        <v>#DIV/0!</v>
      </c>
    </row>
    <row r="28" spans="4:18" x14ac:dyDescent="0.2">
      <c r="H28" s="16"/>
      <c r="I28" s="15"/>
      <c r="M28" s="16" t="e">
        <f>Table1567891019[[#This Row],[Column5]]/Table1567891019[[#This Row],[Column2]]*100</f>
        <v>#DIV/0!</v>
      </c>
      <c r="O28" s="16" t="e">
        <f>Table1567891019[[#This Row],[Column102]]/Table1567891019[[#This Row],[Column5]]*100</f>
        <v>#DIV/0!</v>
      </c>
    </row>
    <row r="29" spans="4:18" ht="34" x14ac:dyDescent="0.2">
      <c r="D29" s="1" t="s">
        <v>174</v>
      </c>
      <c r="H29" s="16">
        <v>30</v>
      </c>
      <c r="I29" s="15">
        <v>29</v>
      </c>
      <c r="M29" s="16" t="e">
        <f>Table1567891019[[#This Row],[Column5]]/Table1567891019[[#This Row],[Column2]]*100</f>
        <v>#DIV/0!</v>
      </c>
      <c r="O29" s="16" t="e">
        <f>Table1567891019[[#This Row],[Column102]]/Table1567891019[[#This Row],[Column5]]*100</f>
        <v>#DIV/0!</v>
      </c>
    </row>
    <row r="30" spans="4:18" ht="34" x14ac:dyDescent="0.2">
      <c r="D30" s="1" t="s">
        <v>162</v>
      </c>
      <c r="H30" s="15">
        <f>H14/H29*100</f>
        <v>176.66666666666666</v>
      </c>
      <c r="I30" s="15">
        <f>H14/I29*100</f>
        <v>182.75862068965517</v>
      </c>
      <c r="M30" s="16" t="e">
        <f>Table1567891019[[#This Row],[Column5]]/Table1567891019[[#This Row],[Column2]]*100</f>
        <v>#DIV/0!</v>
      </c>
      <c r="O30" s="16" t="e">
        <f>Table1567891019[[#This Row],[Column102]]/Table1567891019[[#This Row],[Column5]]*100</f>
        <v>#DIV/0!</v>
      </c>
    </row>
    <row r="31" spans="4:18" x14ac:dyDescent="0.2">
      <c r="H31" s="16"/>
      <c r="I31" s="15"/>
      <c r="M31" s="16" t="e">
        <f>Table1567891019[[#This Row],[Column5]]/Table1567891019[[#This Row],[Column2]]*100</f>
        <v>#DIV/0!</v>
      </c>
      <c r="O31" s="16" t="e">
        <f>Table1567891019[[#This Row],[Column102]]/Table1567891019[[#This Row],[Column5]]*100</f>
        <v>#DIV/0!</v>
      </c>
    </row>
    <row r="32" spans="4:18" x14ac:dyDescent="0.2">
      <c r="H32" s="16"/>
      <c r="I32" s="15"/>
      <c r="M32" s="16" t="e">
        <f>Table1567891019[[#This Row],[Column5]]/Table1567891019[[#This Row],[Column2]]*100</f>
        <v>#DIV/0!</v>
      </c>
      <c r="O32" s="16" t="e">
        <f>Table1567891019[[#This Row],[Column102]]/Table1567891019[[#This Row],[Column5]]*100</f>
        <v>#DIV/0!</v>
      </c>
    </row>
    <row r="33" spans="5:18" x14ac:dyDescent="0.2">
      <c r="E33" s="17"/>
      <c r="F33" s="17"/>
      <c r="G33" s="17"/>
      <c r="H33" s="19"/>
      <c r="I33" s="18"/>
      <c r="J33" s="17"/>
      <c r="K33" s="17"/>
      <c r="L33" s="17"/>
      <c r="M33" s="19" t="e">
        <f>Table1567891019[[#This Row],[Column5]]/Table1567891019[[#This Row],[Column2]]*100</f>
        <v>#DIV/0!</v>
      </c>
      <c r="N33" s="17"/>
      <c r="O33" s="19" t="e">
        <f>Table1567891019[[#This Row],[Column102]]/Table1567891019[[#This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C9:R33"/>
  <sheetViews>
    <sheetView topLeftCell="A8" workbookViewId="0">
      <selection activeCell="G8" sqref="G1:G1048576"/>
    </sheetView>
  </sheetViews>
  <sheetFormatPr baseColWidth="10" defaultRowHeight="16" x14ac:dyDescent="0.2"/>
  <sheetData>
    <row r="9" spans="3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3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3:18" ht="34" x14ac:dyDescent="0.2">
      <c r="D11" s="9" t="s">
        <v>75</v>
      </c>
      <c r="E11">
        <v>2008</v>
      </c>
      <c r="F11">
        <v>1</v>
      </c>
      <c r="G11">
        <v>333</v>
      </c>
      <c r="H11" s="15">
        <f>Table1567891018[[#This Row],[Column102]]/Table1567891018[[#This Row],[Column2]]*0.1</f>
        <v>33.300000000000004</v>
      </c>
      <c r="I11" s="15">
        <f>Table1567891018[[#This Row],[Column102]]/Table1567891018[[#This Row],[Column2]]*0.1</f>
        <v>33.300000000000004</v>
      </c>
      <c r="J11">
        <v>8</v>
      </c>
      <c r="M11">
        <f>Table1567891018[[#This Row],[Column5]]/Table1567891018[[#This Row],[Column2]]*100</f>
        <v>0</v>
      </c>
      <c r="O11" t="e">
        <f>Table1567891018[[#This Row],[Column102]]/Table1567891018[[#This Row],[Column5]]*100</f>
        <v>#DIV/0!</v>
      </c>
      <c r="Q11">
        <v>333</v>
      </c>
      <c r="R11">
        <v>1</v>
      </c>
    </row>
    <row r="12" spans="3:18" x14ac:dyDescent="0.2">
      <c r="D12" s="7" t="s">
        <v>71</v>
      </c>
      <c r="E12" t="s">
        <v>129</v>
      </c>
      <c r="F12">
        <v>0.6</v>
      </c>
      <c r="G12">
        <v>323</v>
      </c>
      <c r="H12" s="15">
        <f>Table1567891018[[#This Row],[Column102]]/Table1567891018[[#This Row],[Column2]]*0.1</f>
        <v>53.833333333333343</v>
      </c>
      <c r="I12" s="15">
        <f>Table1567891018[[#This Row],[Column102]]/Table1567891018[[#This Row],[Column2]]*0.1</f>
        <v>53.833333333333343</v>
      </c>
      <c r="J12">
        <v>5</v>
      </c>
      <c r="M12">
        <f>Table1567891018[[#This Row],[Column5]]/Table1567891018[[#This Row],[Column2]]*100</f>
        <v>0</v>
      </c>
      <c r="O12" t="e">
        <f>Table1567891018[[#This Row],[Column102]]/Table1567891018[[#This Row],[Column5]]*100</f>
        <v>#DIV/0!</v>
      </c>
      <c r="Q12">
        <v>323</v>
      </c>
      <c r="R12">
        <v>2</v>
      </c>
    </row>
    <row r="13" spans="3:18" ht="34" x14ac:dyDescent="0.2">
      <c r="C13" t="s">
        <v>137</v>
      </c>
      <c r="D13" s="9" t="s">
        <v>72</v>
      </c>
      <c r="E13" t="s">
        <v>123</v>
      </c>
      <c r="F13">
        <v>0.9</v>
      </c>
      <c r="G13">
        <v>59</v>
      </c>
      <c r="H13" s="15">
        <f>Table1567891018[[#This Row],[Column102]]/Table1567891018[[#This Row],[Column2]]*0.1</f>
        <v>6.5555555555555562</v>
      </c>
      <c r="I13" s="15"/>
      <c r="J13">
        <v>15</v>
      </c>
      <c r="M13">
        <f>Table1567891018[[#This Row],[Column5]]/Table1567891018[[#This Row],[Column2]]*100</f>
        <v>0</v>
      </c>
      <c r="O13" t="e">
        <f>Table1567891018[[#This Row],[Column102]]/Table1567891018[[#This Row],[Column5]]*100</f>
        <v>#DIV/0!</v>
      </c>
      <c r="Q13">
        <v>59</v>
      </c>
      <c r="R13">
        <v>3</v>
      </c>
    </row>
    <row r="14" spans="3:18" ht="34" x14ac:dyDescent="0.2">
      <c r="D14" s="10" t="s">
        <v>23</v>
      </c>
      <c r="E14" t="s">
        <v>134</v>
      </c>
      <c r="F14">
        <v>1.2</v>
      </c>
      <c r="G14">
        <v>865</v>
      </c>
      <c r="H14" s="15">
        <f>Table1567891018[[#This Row],[Column102]]/Table1567891018[[#This Row],[Column2]]*0.1</f>
        <v>72.083333333333343</v>
      </c>
      <c r="I14" s="15"/>
      <c r="J14">
        <v>3</v>
      </c>
      <c r="M14">
        <f>Table1567891018[[#This Row],[Column5]]/Table1567891018[[#This Row],[Column2]]*100</f>
        <v>0</v>
      </c>
      <c r="O14" t="e">
        <f>Table1567891018[[#This Row],[Column102]]/Table1567891018[[#This Row],[Column5]]*100</f>
        <v>#DIV/0!</v>
      </c>
      <c r="Q14">
        <v>865</v>
      </c>
      <c r="R14">
        <v>4</v>
      </c>
    </row>
    <row r="15" spans="3:18" x14ac:dyDescent="0.2">
      <c r="D15" s="4" t="s">
        <v>43</v>
      </c>
      <c r="E15" t="s">
        <v>134</v>
      </c>
      <c r="F15">
        <v>0.9</v>
      </c>
      <c r="G15">
        <v>928</v>
      </c>
      <c r="H15" s="15">
        <f>Table1567891018[[#This Row],[Column102]]/Table1567891018[[#This Row],[Column2]]*0.1</f>
        <v>103.11111111111111</v>
      </c>
      <c r="I15" s="15">
        <f>Table1567891018[[#This Row],[Column102]]/Table1567891018[[#This Row],[Column2]]*0.1</f>
        <v>103.11111111111111</v>
      </c>
      <c r="J15">
        <v>2</v>
      </c>
      <c r="M15">
        <f>Table1567891018[[#This Row],[Column5]]/Table1567891018[[#This Row],[Column2]]*100</f>
        <v>0</v>
      </c>
      <c r="O15" t="e">
        <f>Table1567891018[[#This Row],[Column102]]/Table1567891018[[#This Row],[Column5]]*100</f>
        <v>#DIV/0!</v>
      </c>
      <c r="Q15">
        <v>928</v>
      </c>
      <c r="R15">
        <v>5</v>
      </c>
    </row>
    <row r="16" spans="3:18" x14ac:dyDescent="0.2">
      <c r="D16" s="7" t="s">
        <v>58</v>
      </c>
      <c r="E16" t="s">
        <v>132</v>
      </c>
      <c r="F16">
        <v>2.2000000000000002</v>
      </c>
      <c r="G16">
        <v>640</v>
      </c>
      <c r="H16" s="15">
        <f>Table1567891018[[#This Row],[Column102]]/Table1567891018[[#This Row],[Column2]]*0.1</f>
        <v>29.09090909090909</v>
      </c>
      <c r="I16" s="15">
        <f>Table1567891018[[#This Row],[Column102]]/Table1567891018[[#This Row],[Column2]]*0.1</f>
        <v>29.09090909090909</v>
      </c>
      <c r="J16">
        <v>10</v>
      </c>
      <c r="M16">
        <f>Table1567891018[[#This Row],[Column5]]/Table1567891018[[#This Row],[Column2]]*100</f>
        <v>0</v>
      </c>
      <c r="O16" t="e">
        <f>Table1567891018[[#This Row],[Column102]]/Table1567891018[[#This Row],[Column5]]*100</f>
        <v>#DIV/0!</v>
      </c>
      <c r="Q16">
        <v>640</v>
      </c>
      <c r="R16">
        <v>6</v>
      </c>
    </row>
    <row r="17" spans="4:18" x14ac:dyDescent="0.2">
      <c r="D17" s="4" t="s">
        <v>64</v>
      </c>
      <c r="E17">
        <v>2003</v>
      </c>
      <c r="F17">
        <v>1</v>
      </c>
      <c r="G17">
        <v>248</v>
      </c>
      <c r="H17" s="15">
        <f>Table1567891018[[#This Row],[Column102]]/Table1567891018[[#This Row],[Column2]]*0.1</f>
        <v>24.8</v>
      </c>
      <c r="I17" s="15">
        <f>Table1567891018[[#This Row],[Column102]]/Table1567891018[[#This Row],[Column2]]*0.1</f>
        <v>24.8</v>
      </c>
      <c r="J17">
        <v>11</v>
      </c>
      <c r="M17">
        <f>Table1567891018[[#This Row],[Column5]]/Table1567891018[[#This Row],[Column2]]*100</f>
        <v>0</v>
      </c>
      <c r="O17" t="e">
        <f>Table1567891018[[#This Row],[Column102]]/Table1567891018[[#This Row],[Column5]]*100</f>
        <v>#DIV/0!</v>
      </c>
      <c r="Q17">
        <v>248</v>
      </c>
      <c r="R17">
        <v>7</v>
      </c>
    </row>
    <row r="18" spans="4:18" ht="51" x14ac:dyDescent="0.2">
      <c r="D18" s="10" t="s">
        <v>73</v>
      </c>
      <c r="E18">
        <v>2002</v>
      </c>
      <c r="F18">
        <v>4.3</v>
      </c>
      <c r="G18">
        <v>1306</v>
      </c>
      <c r="H18" s="15">
        <f>Table1567891018[[#This Row],[Column102]]/Table1567891018[[#This Row],[Column2]]*0.1</f>
        <v>30.372093023255815</v>
      </c>
      <c r="I18" s="15">
        <f>Table1567891018[[#This Row],[Column102]]/Table1567891018[[#This Row],[Column2]]*0.1</f>
        <v>30.372093023255815</v>
      </c>
      <c r="J18">
        <v>9</v>
      </c>
      <c r="M18">
        <f>Table1567891018[[#This Row],[Column5]]/Table1567891018[[#This Row],[Column2]]*100</f>
        <v>0</v>
      </c>
      <c r="O18" t="e">
        <f>Table1567891018[[#This Row],[Column102]]/Table1567891018[[#This Row],[Column5]]*100</f>
        <v>#DIV/0!</v>
      </c>
      <c r="Q18">
        <v>1306</v>
      </c>
      <c r="R18">
        <v>8</v>
      </c>
    </row>
    <row r="19" spans="4:18" x14ac:dyDescent="0.2">
      <c r="D19" s="4" t="s">
        <v>65</v>
      </c>
      <c r="E19" t="s">
        <v>132</v>
      </c>
      <c r="F19">
        <v>0.4</v>
      </c>
      <c r="G19">
        <v>680</v>
      </c>
      <c r="H19" s="15">
        <f>Table1567891018[[#This Row],[Column102]]/Table1567891018[[#This Row],[Column2]]*0.1</f>
        <v>170</v>
      </c>
      <c r="I19" s="15"/>
      <c r="J19">
        <v>1</v>
      </c>
      <c r="M19">
        <f>Table1567891018[[#This Row],[Column5]]/Table1567891018[[#This Row],[Column2]]*100</f>
        <v>0</v>
      </c>
      <c r="O19" t="e">
        <f>Table1567891018[[#This Row],[Column102]]/Table1567891018[[#This Row],[Column5]]*100</f>
        <v>#DIV/0!</v>
      </c>
      <c r="Q19">
        <v>680</v>
      </c>
      <c r="R19">
        <v>9</v>
      </c>
    </row>
    <row r="20" spans="4:18" x14ac:dyDescent="0.2">
      <c r="D20" s="7" t="s">
        <v>44</v>
      </c>
      <c r="E20" t="s">
        <v>138</v>
      </c>
      <c r="F20">
        <v>0.37</v>
      </c>
      <c r="G20">
        <v>262</v>
      </c>
      <c r="H20" s="15">
        <f>Table1567891018[[#This Row],[Column102]]/Table1567891018[[#This Row],[Column2]]*0.1</f>
        <v>70.810810810810821</v>
      </c>
      <c r="I20" s="15">
        <f>Table1567891018[[#This Row],[Column102]]/Table1567891018[[#This Row],[Column2]]*0.1</f>
        <v>70.810810810810821</v>
      </c>
      <c r="J20">
        <v>4</v>
      </c>
      <c r="M20">
        <f>Table1567891018[[#This Row],[Column5]]/Table1567891018[[#This Row],[Column2]]*100</f>
        <v>0</v>
      </c>
      <c r="O20" t="e">
        <f>Table1567891018[[#This Row],[Column102]]/Table1567891018[[#This Row],[Column5]]*100</f>
        <v>#DIV/0!</v>
      </c>
      <c r="Q20">
        <v>262</v>
      </c>
      <c r="R20">
        <v>10</v>
      </c>
    </row>
    <row r="21" spans="4:18" x14ac:dyDescent="0.2">
      <c r="D21" s="4" t="s">
        <v>61</v>
      </c>
      <c r="E21" t="s">
        <v>138</v>
      </c>
      <c r="F21">
        <v>1.5</v>
      </c>
      <c r="G21">
        <v>270</v>
      </c>
      <c r="H21" s="15">
        <f>Table1567891018[[#This Row],[Column102]]/Table1567891018[[#This Row],[Column2]]*0.1</f>
        <v>18</v>
      </c>
      <c r="I21" s="15">
        <f>Table1567891018[[#This Row],[Column102]]/Table1567891018[[#This Row],[Column2]]*0.1</f>
        <v>18</v>
      </c>
      <c r="J21">
        <v>13</v>
      </c>
      <c r="M21">
        <f>Table1567891018[[#This Row],[Column5]]/Table1567891018[[#This Row],[Column2]]*100</f>
        <v>0</v>
      </c>
      <c r="O21" t="e">
        <f>Table1567891018[[#This Row],[Column102]]/Table1567891018[[#This Row],[Column5]]*100</f>
        <v>#DIV/0!</v>
      </c>
      <c r="Q21">
        <v>270</v>
      </c>
      <c r="R21">
        <v>11</v>
      </c>
    </row>
    <row r="22" spans="4:18" x14ac:dyDescent="0.2">
      <c r="D22" s="7" t="s">
        <v>51</v>
      </c>
      <c r="E22" t="s">
        <v>138</v>
      </c>
      <c r="F22">
        <v>4</v>
      </c>
      <c r="G22">
        <v>731</v>
      </c>
      <c r="H22" s="15">
        <f>Table1567891018[[#This Row],[Column102]]/Table1567891018[[#This Row],[Column2]]*0.1</f>
        <v>18.275000000000002</v>
      </c>
      <c r="I22" s="15">
        <f>Table1567891018[[#This Row],[Column102]]/Table1567891018[[#This Row],[Column2]]*0.1</f>
        <v>18.275000000000002</v>
      </c>
      <c r="J22">
        <v>12</v>
      </c>
      <c r="M22">
        <f>Table1567891018[[#This Row],[Column5]]/Table1567891018[[#This Row],[Column2]]*100</f>
        <v>0</v>
      </c>
      <c r="O22" t="e">
        <f>Table1567891018[[#This Row],[Column102]]/Table1567891018[[#This Row],[Column5]]*100</f>
        <v>#DIV/0!</v>
      </c>
      <c r="Q22">
        <v>731</v>
      </c>
      <c r="R22">
        <v>12</v>
      </c>
    </row>
    <row r="23" spans="4:18" x14ac:dyDescent="0.2">
      <c r="D23" s="4" t="s">
        <v>37</v>
      </c>
      <c r="E23">
        <v>2002</v>
      </c>
      <c r="F23">
        <v>3.1</v>
      </c>
      <c r="G23">
        <v>433</v>
      </c>
      <c r="H23" s="15">
        <f>Table1567891018[[#This Row],[Column102]]/Table1567891018[[#This Row],[Column2]]*0.1</f>
        <v>13.967741935483872</v>
      </c>
      <c r="I23" s="15">
        <f>Table1567891018[[#This Row],[Column102]]/Table1567891018[[#This Row],[Column2]]*0.1</f>
        <v>13.967741935483872</v>
      </c>
      <c r="J23">
        <v>14</v>
      </c>
      <c r="M23">
        <f>Table1567891018[[#This Row],[Column5]]/Table1567891018[[#This Row],[Column2]]*100</f>
        <v>0</v>
      </c>
      <c r="O23" t="e">
        <f>Table1567891018[[#This Row],[Column102]]/Table1567891018[[#This Row],[Column5]]*100</f>
        <v>#DIV/0!</v>
      </c>
      <c r="Q23">
        <v>433</v>
      </c>
      <c r="R23">
        <v>13</v>
      </c>
    </row>
    <row r="24" spans="4:18" x14ac:dyDescent="0.2">
      <c r="D24" s="7" t="s">
        <v>53</v>
      </c>
      <c r="E24">
        <v>2004</v>
      </c>
      <c r="F24">
        <v>0.4</v>
      </c>
      <c r="G24">
        <v>213</v>
      </c>
      <c r="H24" s="15">
        <f>Table1567891018[[#This Row],[Column102]]/Table1567891018[[#This Row],[Column2]]*0.1</f>
        <v>53.25</v>
      </c>
      <c r="I24" s="15">
        <f>Table1567891018[[#This Row],[Column102]]/Table1567891018[[#This Row],[Column2]]*0.1</f>
        <v>53.25</v>
      </c>
      <c r="J24">
        <v>6</v>
      </c>
      <c r="M24">
        <f>Table1567891018[[#This Row],[Column5]]/Table1567891018[[#This Row],[Column2]]*100</f>
        <v>0</v>
      </c>
      <c r="O24" t="e">
        <f>Table1567891018[[#This Row],[Column102]]/Table1567891018[[#This Row],[Column5]]*100</f>
        <v>#DIV/0!</v>
      </c>
      <c r="Q24">
        <v>213</v>
      </c>
      <c r="R24">
        <v>14</v>
      </c>
    </row>
    <row r="25" spans="4:18" x14ac:dyDescent="0.2">
      <c r="D25" s="4" t="s">
        <v>74</v>
      </c>
      <c r="E25" t="s">
        <v>134</v>
      </c>
      <c r="F25">
        <v>0.6</v>
      </c>
      <c r="G25">
        <v>281</v>
      </c>
      <c r="H25" s="15">
        <f>Table1567891018[[#This Row],[Column102]]/Table1567891018[[#This Row],[Column2]]*0.1</f>
        <v>46.833333333333343</v>
      </c>
      <c r="I25" s="15">
        <f>Table1567891018[[#This Row],[Column102]]/Table1567891018[[#This Row],[Column2]]*0.1</f>
        <v>46.833333333333343</v>
      </c>
      <c r="J25">
        <v>7</v>
      </c>
      <c r="M25">
        <f>Table1567891018[[#This Row],[Column5]]/Table1567891018[[#This Row],[Column2]]*100</f>
        <v>0</v>
      </c>
      <c r="O25" t="e">
        <f>Table1567891018[[#This Row],[Column102]]/Table1567891018[[#This Row],[Column5]]*100</f>
        <v>#DIV/0!</v>
      </c>
      <c r="Q25">
        <v>281</v>
      </c>
      <c r="R25">
        <v>15</v>
      </c>
    </row>
    <row r="26" spans="4:18" x14ac:dyDescent="0.2">
      <c r="H26" s="15"/>
      <c r="I26" s="15"/>
      <c r="M26" s="16" t="e">
        <f>Table1567891018[[#This Row],[Column5]]/Table1567891018[[#This Row],[Column2]]*100</f>
        <v>#DIV/0!</v>
      </c>
      <c r="O26" s="16" t="e">
        <f>Table1567891018[[#This Row],[Column102]]/Table1567891018[[#This Row],[Column5]]*100</f>
        <v>#DIV/0!</v>
      </c>
    </row>
    <row r="27" spans="4:18" x14ac:dyDescent="0.2">
      <c r="H27" s="16"/>
      <c r="I27" s="15"/>
      <c r="M27" s="16" t="e">
        <f>Table1567891018[[#This Row],[Column5]]/Table1567891018[[#This Row],[Column2]]*100</f>
        <v>#DIV/0!</v>
      </c>
      <c r="O27" s="16" t="e">
        <f>Table1567891018[[#This Row],[Column102]]/Table1567891018[[#This Row],[Column5]]*100</f>
        <v>#DIV/0!</v>
      </c>
    </row>
    <row r="28" spans="4:18" x14ac:dyDescent="0.2">
      <c r="H28" s="16"/>
      <c r="I28" s="15"/>
      <c r="M28" s="16" t="e">
        <f>Table1567891018[[#This Row],[Column5]]/Table1567891018[[#This Row],[Column2]]*100</f>
        <v>#DIV/0!</v>
      </c>
      <c r="O28" s="16" t="e">
        <f>Table1567891018[[#This Row],[Column102]]/Table1567891018[[#This Row],[Column5]]*100</f>
        <v>#DIV/0!</v>
      </c>
    </row>
    <row r="29" spans="4:18" ht="34" x14ac:dyDescent="0.2">
      <c r="D29" s="1" t="s">
        <v>172</v>
      </c>
      <c r="H29" s="16">
        <v>48</v>
      </c>
      <c r="I29" s="15">
        <v>41</v>
      </c>
      <c r="M29" s="16" t="e">
        <f>Table1567891018[[#This Row],[Column5]]/Table1567891018[[#This Row],[Column2]]*100</f>
        <v>#DIV/0!</v>
      </c>
      <c r="O29" s="16" t="e">
        <f>Table1567891018[[#This Row],[Column102]]/Table1567891018[[#This Row],[Column5]]*100</f>
        <v>#DIV/0!</v>
      </c>
    </row>
    <row r="30" spans="4:18" ht="34" x14ac:dyDescent="0.2">
      <c r="D30" s="1" t="s">
        <v>162</v>
      </c>
      <c r="H30" s="15">
        <f>H14/H29*100</f>
        <v>150.17361111111114</v>
      </c>
      <c r="I30" s="15">
        <f>H14/I29*100</f>
        <v>175.81300813008133</v>
      </c>
      <c r="M30" s="16" t="e">
        <f>Table1567891018[[#This Row],[Column5]]/Table1567891018[[#This Row],[Column2]]*100</f>
        <v>#DIV/0!</v>
      </c>
      <c r="O30" s="16" t="e">
        <f>Table1567891018[[#This Row],[Column102]]/Table1567891018[[#This Row],[Column5]]*100</f>
        <v>#DIV/0!</v>
      </c>
    </row>
    <row r="31" spans="4:18" x14ac:dyDescent="0.2">
      <c r="H31" s="16"/>
      <c r="I31" s="15"/>
      <c r="M31" s="16" t="e">
        <f>Table1567891018[[#This Row],[Column5]]/Table1567891018[[#This Row],[Column2]]*100</f>
        <v>#DIV/0!</v>
      </c>
      <c r="O31" s="16" t="e">
        <f>Table1567891018[[#This Row],[Column102]]/Table1567891018[[#This Row],[Column5]]*100</f>
        <v>#DIV/0!</v>
      </c>
    </row>
    <row r="32" spans="4:18" x14ac:dyDescent="0.2">
      <c r="H32" s="16"/>
      <c r="I32" s="15"/>
      <c r="M32" s="16" t="e">
        <f>Table1567891018[[#This Row],[Column5]]/Table1567891018[[#This Row],[Column2]]*100</f>
        <v>#DIV/0!</v>
      </c>
      <c r="O32" s="16" t="e">
        <f>Table1567891018[[#This Row],[Column102]]/Table1567891018[[#This Row],[Column5]]*100</f>
        <v>#DIV/0!</v>
      </c>
    </row>
    <row r="33" spans="5:18" x14ac:dyDescent="0.2">
      <c r="E33" s="17"/>
      <c r="F33" s="17"/>
      <c r="G33" s="17"/>
      <c r="H33" s="19"/>
      <c r="I33" s="18"/>
      <c r="J33" s="17"/>
      <c r="K33" s="17"/>
      <c r="L33" s="17"/>
      <c r="M33" s="19" t="e">
        <f>Table1567891018[[#This Row],[Column5]]/Table1567891018[[#This Row],[Column2]]*100</f>
        <v>#DIV/0!</v>
      </c>
      <c r="N33" s="17"/>
      <c r="O33" s="19" t="e">
        <f>Table1567891018[[#This Row],[Column102]]/Table1567891018[[#This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D9:R33"/>
  <sheetViews>
    <sheetView topLeftCell="A9" workbookViewId="0">
      <selection activeCell="G9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10" t="s">
        <v>67</v>
      </c>
      <c r="E11" t="s">
        <v>129</v>
      </c>
      <c r="F11">
        <v>0.6</v>
      </c>
      <c r="G11">
        <v>352</v>
      </c>
      <c r="H11" s="15">
        <f>Table1567891017[[#This Row],[Column102]]/Table1567891017[[#This Row],[Column2]]*0.1</f>
        <v>58.666666666666679</v>
      </c>
      <c r="I11" s="15">
        <f>Table1567891017[[#This Row],[Column102]]/Table1567891017[[#This Row],[Column2]]*0.1</f>
        <v>58.666666666666679</v>
      </c>
      <c r="J11">
        <v>5</v>
      </c>
      <c r="M11">
        <f>Table1567891017[[#This Row],[Column5]]/Table1567891017[[#This Row],[Column2]]*100</f>
        <v>0</v>
      </c>
      <c r="O11" t="e">
        <f>Table1567891017[[#This Row],[Column102]]/Table1567891017[[#This Row],[Column5]]*100</f>
        <v>#DIV/0!</v>
      </c>
      <c r="Q11">
        <v>352</v>
      </c>
      <c r="R11">
        <v>1</v>
      </c>
    </row>
    <row r="12" spans="4:18" ht="34" x14ac:dyDescent="0.2">
      <c r="D12" s="9" t="s">
        <v>75</v>
      </c>
      <c r="E12" t="s">
        <v>131</v>
      </c>
      <c r="F12">
        <v>1</v>
      </c>
      <c r="G12">
        <v>299</v>
      </c>
      <c r="H12" s="15">
        <f>Table1567891017[[#This Row],[Column102]]/Table1567891017[[#This Row],[Column2]]*0.1</f>
        <v>29.900000000000002</v>
      </c>
      <c r="I12" s="15">
        <f>Table1567891017[[#This Row],[Column102]]/Table1567891017[[#This Row],[Column2]]*0.1</f>
        <v>29.900000000000002</v>
      </c>
      <c r="J12">
        <v>8</v>
      </c>
      <c r="M12">
        <f>Table1567891017[[#This Row],[Column5]]/Table1567891017[[#This Row],[Column2]]*100</f>
        <v>0</v>
      </c>
      <c r="O12" t="e">
        <f>Table1567891017[[#This Row],[Column102]]/Table1567891017[[#This Row],[Column5]]*100</f>
        <v>#DIV/0!</v>
      </c>
      <c r="Q12">
        <v>299</v>
      </c>
      <c r="R12">
        <v>2</v>
      </c>
    </row>
    <row r="13" spans="4:18" ht="34" x14ac:dyDescent="0.2">
      <c r="D13" s="10" t="s">
        <v>23</v>
      </c>
      <c r="E13" t="s">
        <v>136</v>
      </c>
      <c r="F13">
        <v>1.1000000000000001</v>
      </c>
      <c r="G13">
        <v>1616</v>
      </c>
      <c r="H13" s="15">
        <f>Table1567891017[[#This Row],[Column102]]/Table1567891017[[#This Row],[Column2]]*0.1</f>
        <v>146.90909090909091</v>
      </c>
      <c r="I13" s="15"/>
      <c r="J13">
        <v>3</v>
      </c>
      <c r="M13">
        <f>Table1567891017[[#This Row],[Column5]]/Table1567891017[[#This Row],[Column2]]*100</f>
        <v>0</v>
      </c>
      <c r="O13" t="e">
        <f>Table1567891017[[#This Row],[Column102]]/Table1567891017[[#This Row],[Column5]]*100</f>
        <v>#DIV/0!</v>
      </c>
      <c r="Q13">
        <v>1616</v>
      </c>
      <c r="R13">
        <v>3</v>
      </c>
    </row>
    <row r="14" spans="4:18" ht="34" x14ac:dyDescent="0.2">
      <c r="D14" s="9" t="s">
        <v>39</v>
      </c>
      <c r="E14" t="s">
        <v>123</v>
      </c>
      <c r="F14">
        <v>0.9</v>
      </c>
      <c r="G14">
        <v>85</v>
      </c>
      <c r="H14" s="15">
        <f>Table1567891017[[#This Row],[Column102]]/Table1567891017[[#This Row],[Column2]]*0.1</f>
        <v>9.4444444444444446</v>
      </c>
      <c r="I14" s="15">
        <f>Table1567891017[[#This Row],[Column102]]/Table1567891017[[#This Row],[Column2]]*0.1</f>
        <v>9.4444444444444446</v>
      </c>
      <c r="J14">
        <v>12</v>
      </c>
      <c r="M14">
        <f>Table1567891017[[#This Row],[Column5]]/Table1567891017[[#This Row],[Column2]]*100</f>
        <v>0</v>
      </c>
      <c r="O14" t="e">
        <f>Table1567891017[[#This Row],[Column102]]/Table1567891017[[#This Row],[Column5]]*100</f>
        <v>#DIV/0!</v>
      </c>
      <c r="Q14">
        <v>85</v>
      </c>
      <c r="R14">
        <v>4</v>
      </c>
    </row>
    <row r="15" spans="4:18" ht="51" x14ac:dyDescent="0.2">
      <c r="D15" s="10" t="s">
        <v>73</v>
      </c>
      <c r="E15" t="s">
        <v>135</v>
      </c>
      <c r="F15">
        <v>4.3</v>
      </c>
      <c r="G15">
        <v>1931</v>
      </c>
      <c r="H15" s="15">
        <f>Table1567891017[[#This Row],[Column102]]/Table1567891017[[#This Row],[Column2]]*0.1</f>
        <v>44.906976744186053</v>
      </c>
      <c r="I15" s="15">
        <f>Table1567891017[[#This Row],[Column102]]/Table1567891017[[#This Row],[Column2]]*0.1</f>
        <v>44.906976744186053</v>
      </c>
      <c r="J15">
        <v>7</v>
      </c>
      <c r="M15">
        <f>Table1567891017[[#This Row],[Column5]]/Table1567891017[[#This Row],[Column2]]*100</f>
        <v>0</v>
      </c>
      <c r="O15" t="e">
        <f>Table1567891017[[#This Row],[Column102]]/Table1567891017[[#This Row],[Column5]]*100</f>
        <v>#DIV/0!</v>
      </c>
      <c r="Q15">
        <v>1931</v>
      </c>
      <c r="R15">
        <v>5</v>
      </c>
    </row>
    <row r="16" spans="4:18" ht="17" x14ac:dyDescent="0.2">
      <c r="D16" s="9" t="s">
        <v>58</v>
      </c>
      <c r="E16" t="s">
        <v>132</v>
      </c>
      <c r="F16">
        <v>2.2000000000000002</v>
      </c>
      <c r="G16">
        <v>595</v>
      </c>
      <c r="H16" s="15">
        <f>Table1567891017[[#This Row],[Column102]]/Table1567891017[[#This Row],[Column2]]*0.1</f>
        <v>27.045454545454547</v>
      </c>
      <c r="I16" s="15">
        <f>Table1567891017[[#This Row],[Column102]]/Table1567891017[[#This Row],[Column2]]*0.1</f>
        <v>27.045454545454547</v>
      </c>
      <c r="J16">
        <v>10</v>
      </c>
      <c r="M16">
        <f>Table1567891017[[#This Row],[Column5]]/Table1567891017[[#This Row],[Column2]]*100</f>
        <v>0</v>
      </c>
      <c r="O16" t="e">
        <f>Table1567891017[[#This Row],[Column102]]/Table1567891017[[#This Row],[Column5]]*100</f>
        <v>#DIV/0!</v>
      </c>
      <c r="Q16">
        <v>595</v>
      </c>
      <c r="R16">
        <v>6</v>
      </c>
    </row>
    <row r="17" spans="4:18" ht="17" x14ac:dyDescent="0.2">
      <c r="D17" s="10" t="s">
        <v>64</v>
      </c>
      <c r="E17" t="s">
        <v>135</v>
      </c>
      <c r="F17">
        <v>1</v>
      </c>
      <c r="G17">
        <v>286</v>
      </c>
      <c r="H17" s="15">
        <f>Table1567891017[[#This Row],[Column102]]/Table1567891017[[#This Row],[Column2]]*0.1</f>
        <v>28.6</v>
      </c>
      <c r="I17" s="15">
        <f>Table1567891017[[#This Row],[Column102]]/Table1567891017[[#This Row],[Column2]]*0.1</f>
        <v>28.6</v>
      </c>
      <c r="J17">
        <v>9</v>
      </c>
      <c r="M17">
        <f>Table1567891017[[#This Row],[Column5]]/Table1567891017[[#This Row],[Column2]]*100</f>
        <v>0</v>
      </c>
      <c r="O17" t="e">
        <f>Table1567891017[[#This Row],[Column102]]/Table1567891017[[#This Row],[Column5]]*100</f>
        <v>#DIV/0!</v>
      </c>
      <c r="Q17">
        <v>286</v>
      </c>
      <c r="R17">
        <v>7</v>
      </c>
    </row>
    <row r="18" spans="4:18" ht="17" x14ac:dyDescent="0.2">
      <c r="D18" s="9" t="s">
        <v>42</v>
      </c>
      <c r="E18" t="s">
        <v>133</v>
      </c>
      <c r="F18">
        <v>0.9</v>
      </c>
      <c r="G18">
        <v>7331</v>
      </c>
      <c r="H18" s="15">
        <f>Table1567891017[[#This Row],[Column102]]/Table1567891017[[#This Row],[Column2]]*0.1</f>
        <v>814.55555555555566</v>
      </c>
      <c r="I18" s="15"/>
      <c r="J18">
        <v>1</v>
      </c>
      <c r="M18">
        <f>Table1567891017[[#This Row],[Column5]]/Table1567891017[[#This Row],[Column2]]*100</f>
        <v>0</v>
      </c>
      <c r="O18" t="e">
        <f>Table1567891017[[#This Row],[Column102]]/Table1567891017[[#This Row],[Column5]]*100</f>
        <v>#DIV/0!</v>
      </c>
      <c r="Q18">
        <v>7331</v>
      </c>
      <c r="R18">
        <v>8</v>
      </c>
    </row>
    <row r="19" spans="4:18" ht="17" x14ac:dyDescent="0.2">
      <c r="D19" s="10" t="s">
        <v>44</v>
      </c>
      <c r="E19">
        <v>2008</v>
      </c>
      <c r="F19">
        <v>0.38</v>
      </c>
      <c r="G19">
        <v>361</v>
      </c>
      <c r="H19" s="15">
        <f>Table1567891017[[#This Row],[Column102]]/Table1567891017[[#This Row],[Column2]]*0.1</f>
        <v>95</v>
      </c>
      <c r="I19" s="15">
        <f>Table1567891017[[#This Row],[Column102]]/Table1567891017[[#This Row],[Column2]]*0.1</f>
        <v>95</v>
      </c>
      <c r="J19">
        <v>4</v>
      </c>
      <c r="M19">
        <f>Table1567891017[[#This Row],[Column5]]/Table1567891017[[#This Row],[Column2]]*100</f>
        <v>0</v>
      </c>
      <c r="O19" t="e">
        <f>Table1567891017[[#This Row],[Column102]]/Table1567891017[[#This Row],[Column5]]*100</f>
        <v>#DIV/0!</v>
      </c>
      <c r="Q19">
        <v>361</v>
      </c>
      <c r="R19">
        <v>9</v>
      </c>
    </row>
    <row r="20" spans="4:18" ht="17" x14ac:dyDescent="0.2">
      <c r="D20" s="9" t="s">
        <v>69</v>
      </c>
      <c r="E20" t="s">
        <v>134</v>
      </c>
      <c r="F20">
        <v>0.15</v>
      </c>
      <c r="G20">
        <v>12</v>
      </c>
      <c r="H20" s="15">
        <f>Table1567891017[[#This Row],[Column102]]/Table1567891017[[#This Row],[Column2]]*0.1</f>
        <v>8</v>
      </c>
      <c r="I20" s="15">
        <f>Table1567891017[[#This Row],[Column102]]/Table1567891017[[#This Row],[Column2]]*0.1</f>
        <v>8</v>
      </c>
      <c r="J20">
        <v>13</v>
      </c>
      <c r="M20">
        <f>Table1567891017[[#This Row],[Column5]]/Table1567891017[[#This Row],[Column2]]*100</f>
        <v>0</v>
      </c>
      <c r="O20" t="e">
        <f>Table1567891017[[#This Row],[Column102]]/Table1567891017[[#This Row],[Column5]]*100</f>
        <v>#DIV/0!</v>
      </c>
      <c r="Q20">
        <v>12</v>
      </c>
      <c r="R20">
        <v>10</v>
      </c>
    </row>
    <row r="21" spans="4:18" ht="17" x14ac:dyDescent="0.2">
      <c r="D21" s="10" t="s">
        <v>76</v>
      </c>
      <c r="E21" t="s">
        <v>132</v>
      </c>
      <c r="F21">
        <v>0.18</v>
      </c>
      <c r="G21">
        <v>85</v>
      </c>
      <c r="H21" s="15">
        <f>Table1567891017[[#This Row],[Column102]]/Table1567891017[[#This Row],[Column2]]*0.1</f>
        <v>47.222222222222229</v>
      </c>
      <c r="I21" s="15">
        <f>Table1567891017[[#This Row],[Column102]]/Table1567891017[[#This Row],[Column2]]*0.1</f>
        <v>47.222222222222229</v>
      </c>
      <c r="J21">
        <v>6</v>
      </c>
      <c r="M21">
        <f>Table1567891017[[#This Row],[Column5]]/Table1567891017[[#This Row],[Column2]]*100</f>
        <v>0</v>
      </c>
      <c r="O21" t="e">
        <f>Table1567891017[[#This Row],[Column102]]/Table1567891017[[#This Row],[Column5]]*100</f>
        <v>#DIV/0!</v>
      </c>
      <c r="Q21">
        <v>85</v>
      </c>
      <c r="R21">
        <v>11</v>
      </c>
    </row>
    <row r="22" spans="4:18" ht="34" x14ac:dyDescent="0.2">
      <c r="D22" s="9" t="s">
        <v>54</v>
      </c>
      <c r="E22" t="s">
        <v>135</v>
      </c>
      <c r="F22">
        <v>1</v>
      </c>
      <c r="G22">
        <v>2058</v>
      </c>
      <c r="H22" s="15">
        <f>Table1567891017[[#This Row],[Column102]]/Table1567891017[[#This Row],[Column2]]*0.1</f>
        <v>205.8</v>
      </c>
      <c r="I22" s="15">
        <f>Table1567891017[[#This Row],[Column102]]/Table1567891017[[#This Row],[Column2]]*0.1</f>
        <v>205.8</v>
      </c>
      <c r="J22">
        <v>2</v>
      </c>
      <c r="M22">
        <f>Table1567891017[[#This Row],[Column5]]/Table1567891017[[#This Row],[Column2]]*100</f>
        <v>0</v>
      </c>
      <c r="O22" t="e">
        <f>Table1567891017[[#This Row],[Column102]]/Table1567891017[[#This Row],[Column5]]*100</f>
        <v>#DIV/0!</v>
      </c>
      <c r="Q22">
        <v>2058</v>
      </c>
      <c r="R22">
        <v>12</v>
      </c>
    </row>
    <row r="23" spans="4:18" ht="17" x14ac:dyDescent="0.2">
      <c r="D23" s="10" t="s">
        <v>52</v>
      </c>
      <c r="E23">
        <v>2003</v>
      </c>
      <c r="F23">
        <v>2.2000000000000002</v>
      </c>
      <c r="G23">
        <v>76</v>
      </c>
      <c r="H23" s="15">
        <f>Table1567891017[[#This Row],[Column102]]/Table1567891017[[#This Row],[Column2]]*0.1</f>
        <v>3.4545454545454541</v>
      </c>
      <c r="I23" s="15"/>
      <c r="J23">
        <v>15</v>
      </c>
      <c r="M23">
        <f>Table1567891017[[#This Row],[Column5]]/Table1567891017[[#This Row],[Column2]]*100</f>
        <v>0</v>
      </c>
      <c r="O23" t="e">
        <f>Table1567891017[[#This Row],[Column102]]/Table1567891017[[#This Row],[Column5]]*100</f>
        <v>#DIV/0!</v>
      </c>
      <c r="Q23">
        <v>76</v>
      </c>
      <c r="R23">
        <v>13</v>
      </c>
    </row>
    <row r="24" spans="4:18" ht="17" x14ac:dyDescent="0.2">
      <c r="D24" s="9" t="s">
        <v>37</v>
      </c>
      <c r="E24">
        <v>2003</v>
      </c>
      <c r="F24">
        <v>3</v>
      </c>
      <c r="G24">
        <v>551</v>
      </c>
      <c r="H24" s="15">
        <f>Table1567891017[[#This Row],[Column102]]/Table1567891017[[#This Row],[Column2]]*0.1</f>
        <v>18.366666666666667</v>
      </c>
      <c r="I24" s="15">
        <f>Table1567891017[[#This Row],[Column102]]/Table1567891017[[#This Row],[Column2]]*0.1</f>
        <v>18.366666666666667</v>
      </c>
      <c r="J24">
        <v>11</v>
      </c>
      <c r="M24">
        <f>Table1567891017[[#This Row],[Column5]]/Table1567891017[[#This Row],[Column2]]*100</f>
        <v>0</v>
      </c>
      <c r="O24" t="e">
        <f>Table1567891017[[#This Row],[Column102]]/Table1567891017[[#This Row],[Column5]]*100</f>
        <v>#DIV/0!</v>
      </c>
      <c r="Q24">
        <v>551</v>
      </c>
      <c r="R24">
        <v>14</v>
      </c>
    </row>
    <row r="25" spans="4:18" ht="17" x14ac:dyDescent="0.2">
      <c r="D25" s="10" t="s">
        <v>63</v>
      </c>
      <c r="E25" t="s">
        <v>135</v>
      </c>
      <c r="F25">
        <v>5.9</v>
      </c>
      <c r="G25">
        <v>374</v>
      </c>
      <c r="H25" s="15">
        <f>Table1567891017[[#This Row],[Column102]]/Table1567891017[[#This Row],[Column2]]*0.1</f>
        <v>6.3389830508474576</v>
      </c>
      <c r="I25" s="15">
        <f>Table1567891017[[#This Row],[Column102]]/Table1567891017[[#This Row],[Column2]]*0.1</f>
        <v>6.3389830508474576</v>
      </c>
      <c r="J25">
        <v>14</v>
      </c>
      <c r="M25">
        <f>Table1567891017[[#This Row],[Column5]]/Table1567891017[[#This Row],[Column2]]*100</f>
        <v>0</v>
      </c>
      <c r="O25" t="e">
        <f>Table1567891017[[#This Row],[Column102]]/Table1567891017[[#This Row],[Column5]]*100</f>
        <v>#DIV/0!</v>
      </c>
      <c r="Q25">
        <v>374</v>
      </c>
      <c r="R25">
        <v>15</v>
      </c>
    </row>
    <row r="26" spans="4:18" x14ac:dyDescent="0.2">
      <c r="G26" s="15"/>
      <c r="H26" s="15"/>
      <c r="I26" s="15">
        <f>AVERAGE(I11:I25)</f>
        <v>48.274284528374011</v>
      </c>
      <c r="M26" s="16" t="e">
        <f>Table1567891017[[#This Row],[Column5]]/Table1567891017[[#This Row],[Column2]]*100</f>
        <v>#DIV/0!</v>
      </c>
      <c r="O26" s="16" t="e">
        <f>Table1567891017[[#This Row],[Column102]]/Table1567891017[[#This Row],[Column5]]*100</f>
        <v>#DIV/0!</v>
      </c>
      <c r="Q26" s="15"/>
    </row>
    <row r="27" spans="4:18" x14ac:dyDescent="0.2">
      <c r="G27" s="15"/>
      <c r="H27" s="15"/>
      <c r="I27" s="15"/>
      <c r="M27" s="16" t="e">
        <f>Table1567891017[[#This Row],[Column5]]/Table1567891017[[#This Row],[Column2]]*100</f>
        <v>#DIV/0!</v>
      </c>
      <c r="O27" s="16" t="e">
        <f>Table1567891017[[#This Row],[Column102]]/Table1567891017[[#This Row],[Column5]]*100</f>
        <v>#DIV/0!</v>
      </c>
      <c r="Q27" s="15"/>
    </row>
    <row r="28" spans="4:18" x14ac:dyDescent="0.2">
      <c r="G28" s="15"/>
      <c r="H28" s="15"/>
      <c r="I28" s="15"/>
      <c r="M28" s="16" t="e">
        <f>Table1567891017[[#This Row],[Column5]]/Table1567891017[[#This Row],[Column2]]*100</f>
        <v>#DIV/0!</v>
      </c>
      <c r="O28" s="16" t="e">
        <f>Table1567891017[[#This Row],[Column102]]/Table1567891017[[#This Row],[Column5]]*100</f>
        <v>#DIV/0!</v>
      </c>
      <c r="Q28" s="15"/>
    </row>
    <row r="29" spans="4:18" ht="34" x14ac:dyDescent="0.2">
      <c r="D29" s="1" t="s">
        <v>172</v>
      </c>
      <c r="G29" s="15"/>
      <c r="H29" s="15">
        <v>100</v>
      </c>
      <c r="I29" s="15">
        <v>48</v>
      </c>
      <c r="M29" s="16" t="e">
        <f>Table1567891017[[#This Row],[Column5]]/Table1567891017[[#This Row],[Column2]]*100</f>
        <v>#DIV/0!</v>
      </c>
      <c r="O29" s="16" t="e">
        <f>Table1567891017[[#This Row],[Column102]]/Table1567891017[[#This Row],[Column5]]*100</f>
        <v>#DIV/0!</v>
      </c>
      <c r="Q29" s="15"/>
    </row>
    <row r="30" spans="4:18" ht="34" x14ac:dyDescent="0.2">
      <c r="D30" s="1" t="s">
        <v>162</v>
      </c>
      <c r="G30" s="15"/>
      <c r="H30" s="15">
        <f>H13/H29*100</f>
        <v>146.90909090909091</v>
      </c>
      <c r="I30" s="15">
        <f>H13/I29*100</f>
        <v>306.06060606060606</v>
      </c>
      <c r="M30" s="16" t="e">
        <f>Table1567891017[[#This Row],[Column5]]/Table1567891017[[#This Row],[Column2]]*100</f>
        <v>#DIV/0!</v>
      </c>
      <c r="O30" s="16" t="e">
        <f>Table1567891017[[#This Row],[Column102]]/Table1567891017[[#This Row],[Column5]]*100</f>
        <v>#DIV/0!</v>
      </c>
      <c r="Q30" s="15"/>
    </row>
    <row r="31" spans="4:18" x14ac:dyDescent="0.2">
      <c r="G31" s="15"/>
      <c r="H31" s="15"/>
      <c r="I31" s="15"/>
      <c r="M31" s="16" t="e">
        <f>Table1567891017[[#This Row],[Column5]]/Table1567891017[[#This Row],[Column2]]*100</f>
        <v>#DIV/0!</v>
      </c>
      <c r="O31" s="16" t="e">
        <f>Table1567891017[[#This Row],[Column102]]/Table1567891017[[#This Row],[Column5]]*100</f>
        <v>#DIV/0!</v>
      </c>
      <c r="Q31" s="15"/>
    </row>
    <row r="32" spans="4:18" x14ac:dyDescent="0.2">
      <c r="G32" s="15"/>
      <c r="H32" s="15"/>
      <c r="I32" s="15"/>
      <c r="M32" s="16" t="e">
        <f>Table1567891017[[#This Row],[Column5]]/Table1567891017[[#This Row],[Column2]]*100</f>
        <v>#DIV/0!</v>
      </c>
      <c r="O32" s="16" t="e">
        <f>Table1567891017[[#This Row],[Column102]]/Table1567891017[[#This Row],[Column5]]*100</f>
        <v>#DIV/0!</v>
      </c>
      <c r="Q32" s="15"/>
    </row>
    <row r="33" spans="5:18" x14ac:dyDescent="0.2">
      <c r="E33" s="17"/>
      <c r="F33" s="17"/>
      <c r="G33" s="18"/>
      <c r="H33" s="18"/>
      <c r="I33" s="18"/>
      <c r="J33" s="17"/>
      <c r="K33" s="17"/>
      <c r="L33" s="17"/>
      <c r="M33" s="19" t="e">
        <f>Table1567891017[[#This Row],[Column5]]/Table1567891017[[#This Row],[Column2]]*100</f>
        <v>#DIV/0!</v>
      </c>
      <c r="N33" s="17"/>
      <c r="O33" s="19" t="e">
        <f>Table1567891017[[#This Row],[Column102]]/Table1567891017[[#This Row],[Column5]]*100</f>
        <v>#DIV/0!</v>
      </c>
      <c r="P33" s="17"/>
      <c r="Q33" s="18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D9:R33"/>
  <sheetViews>
    <sheetView topLeftCell="A5" workbookViewId="0">
      <selection activeCell="G5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9" t="s">
        <v>67</v>
      </c>
      <c r="E11" t="s">
        <v>129</v>
      </c>
      <c r="F11">
        <v>0.6</v>
      </c>
      <c r="G11">
        <v>432</v>
      </c>
      <c r="H11">
        <f>Table1567[[#This Row],[Column102]]/Table1567[[#This Row],[Column2]]*0.1</f>
        <v>72</v>
      </c>
      <c r="I11">
        <f>Table1567[[#This Row],[Column102]]/Table1567[[#This Row],[Column2]]*0.1</f>
        <v>72</v>
      </c>
      <c r="J11">
        <v>4</v>
      </c>
      <c r="M11">
        <f>Table1567[[#This Row],[Column5]]/Table1567[[#This Row],[Column2]]*100</f>
        <v>0</v>
      </c>
      <c r="O11" t="e">
        <f>Table1567[[#This Row],[Column102]]/Table1567[[#This Row],[Column5]]*100</f>
        <v>#DIV/0!</v>
      </c>
      <c r="Q11">
        <v>432</v>
      </c>
      <c r="R11">
        <v>1</v>
      </c>
    </row>
    <row r="12" spans="4:18" x14ac:dyDescent="0.2">
      <c r="D12" s="12" t="s">
        <v>75</v>
      </c>
      <c r="E12" t="s">
        <v>130</v>
      </c>
      <c r="F12">
        <v>1</v>
      </c>
      <c r="G12">
        <v>412</v>
      </c>
      <c r="H12" s="15">
        <f>Table1567[[#This Row],[Column102]]/Table1567[[#This Row],[Column2]]*0.1</f>
        <v>41.2</v>
      </c>
      <c r="I12" s="15">
        <f>Table1567[[#This Row],[Column102]]/Table1567[[#This Row],[Column2]]*0.1</f>
        <v>41.2</v>
      </c>
      <c r="J12">
        <v>6</v>
      </c>
      <c r="M12">
        <f>Table1567[[#This Row],[Column5]]/Table1567[[#This Row],[Column2]]*100</f>
        <v>0</v>
      </c>
      <c r="O12" t="e">
        <f>Table1567[[#This Row],[Column102]]/Table1567[[#This Row],[Column5]]*100</f>
        <v>#DIV/0!</v>
      </c>
      <c r="Q12">
        <v>412</v>
      </c>
      <c r="R12">
        <v>2</v>
      </c>
    </row>
    <row r="13" spans="4:18" ht="34" x14ac:dyDescent="0.2">
      <c r="D13" s="9" t="s">
        <v>77</v>
      </c>
      <c r="E13">
        <v>2005</v>
      </c>
      <c r="F13">
        <v>1.1000000000000001</v>
      </c>
      <c r="G13">
        <v>972</v>
      </c>
      <c r="H13" s="15">
        <f>Table1567[[#This Row],[Column102]]/Table1567[[#This Row],[Column2]]*0.1</f>
        <v>88.36363636363636</v>
      </c>
      <c r="I13" s="15"/>
      <c r="J13">
        <v>3</v>
      </c>
      <c r="M13">
        <f>Table1567[[#This Row],[Column5]]/Table1567[[#This Row],[Column2]]*100</f>
        <v>0</v>
      </c>
      <c r="O13" t="e">
        <f>Table1567[[#This Row],[Column102]]/Table1567[[#This Row],[Column5]]*100</f>
        <v>#DIV/0!</v>
      </c>
      <c r="Q13">
        <v>972</v>
      </c>
      <c r="R13">
        <v>3</v>
      </c>
    </row>
    <row r="14" spans="4:18" x14ac:dyDescent="0.2">
      <c r="D14" s="7" t="s">
        <v>37</v>
      </c>
      <c r="E14">
        <v>2004</v>
      </c>
      <c r="F14">
        <v>3.6</v>
      </c>
      <c r="G14">
        <v>1234</v>
      </c>
      <c r="H14" s="15">
        <f>Table1567[[#This Row],[Column102]]/Table1567[[#This Row],[Column2]]*0.1</f>
        <v>34.277777777777779</v>
      </c>
      <c r="I14" s="15">
        <f>Table1567[[#This Row],[Column102]]/Table1567[[#This Row],[Column2]]*0.1</f>
        <v>34.277777777777779</v>
      </c>
      <c r="J14">
        <v>7</v>
      </c>
      <c r="M14">
        <f>Table1567[[#This Row],[Column5]]/Table1567[[#This Row],[Column2]]*100</f>
        <v>0</v>
      </c>
      <c r="O14" t="e">
        <f>Table1567[[#This Row],[Column102]]/Table1567[[#This Row],[Column5]]*100</f>
        <v>#DIV/0!</v>
      </c>
      <c r="Q14">
        <v>1234</v>
      </c>
      <c r="R14">
        <v>4</v>
      </c>
    </row>
    <row r="15" spans="4:18" ht="51" x14ac:dyDescent="0.2">
      <c r="D15" s="9" t="s">
        <v>70</v>
      </c>
      <c r="E15">
        <v>2004</v>
      </c>
      <c r="F15">
        <v>9.6</v>
      </c>
      <c r="G15">
        <v>1317</v>
      </c>
      <c r="H15" s="15">
        <f>Table1567[[#This Row],[Column102]]/Table1567[[#This Row],[Column2]]*0.1</f>
        <v>13.71875</v>
      </c>
      <c r="I15" s="15">
        <f>Table1567[[#This Row],[Column102]]/Table1567[[#This Row],[Column2]]*0.1</f>
        <v>13.71875</v>
      </c>
      <c r="J15">
        <v>12</v>
      </c>
      <c r="M15">
        <f>Table1567[[#This Row],[Column5]]/Table1567[[#This Row],[Column2]]*100</f>
        <v>0</v>
      </c>
      <c r="O15" t="e">
        <f>Table1567[[#This Row],[Column102]]/Table1567[[#This Row],[Column5]]*100</f>
        <v>#DIV/0!</v>
      </c>
      <c r="Q15">
        <v>1317</v>
      </c>
      <c r="R15">
        <v>5</v>
      </c>
    </row>
    <row r="16" spans="4:18" ht="34" x14ac:dyDescent="0.2">
      <c r="D16" s="10" t="s">
        <v>78</v>
      </c>
      <c r="E16" t="s">
        <v>123</v>
      </c>
      <c r="F16">
        <v>0.9</v>
      </c>
      <c r="G16">
        <v>32</v>
      </c>
      <c r="H16" s="15">
        <f>Table1567[[#This Row],[Column102]]/Table1567[[#This Row],[Column2]]*0.1</f>
        <v>3.5555555555555558</v>
      </c>
      <c r="I16" s="15"/>
      <c r="J16">
        <v>14</v>
      </c>
      <c r="M16">
        <f>Table1567[[#This Row],[Column5]]/Table1567[[#This Row],[Column2]]*100</f>
        <v>0</v>
      </c>
      <c r="O16" t="e">
        <f>Table1567[[#This Row],[Column102]]/Table1567[[#This Row],[Column5]]*100</f>
        <v>#DIV/0!</v>
      </c>
      <c r="Q16">
        <v>32</v>
      </c>
      <c r="R16">
        <v>6</v>
      </c>
    </row>
    <row r="17" spans="4:18" x14ac:dyDescent="0.2">
      <c r="D17" s="4" t="s">
        <v>43</v>
      </c>
      <c r="E17">
        <v>2004</v>
      </c>
      <c r="F17">
        <v>0.95</v>
      </c>
      <c r="G17">
        <v>858</v>
      </c>
      <c r="H17" s="15">
        <f>Table1567[[#This Row],[Column102]]/Table1567[[#This Row],[Column2]]*0.1</f>
        <v>90.31578947368422</v>
      </c>
      <c r="I17" s="15">
        <f>Table1567[[#This Row],[Column102]]/Table1567[[#This Row],[Column2]]*0.1</f>
        <v>90.31578947368422</v>
      </c>
      <c r="J17">
        <v>2</v>
      </c>
      <c r="M17">
        <f>Table1567[[#This Row],[Column5]]/Table1567[[#This Row],[Column2]]*100</f>
        <v>0</v>
      </c>
      <c r="O17" t="e">
        <f>Table1567[[#This Row],[Column102]]/Table1567[[#This Row],[Column5]]*100</f>
        <v>#DIV/0!</v>
      </c>
      <c r="Q17">
        <v>858</v>
      </c>
      <c r="R17">
        <v>7</v>
      </c>
    </row>
    <row r="18" spans="4:18" x14ac:dyDescent="0.2">
      <c r="D18" s="7" t="s">
        <v>58</v>
      </c>
      <c r="E18">
        <v>2004</v>
      </c>
      <c r="F18">
        <v>3.2</v>
      </c>
      <c r="G18">
        <v>550</v>
      </c>
      <c r="H18" s="15">
        <f>Table1567[[#This Row],[Column102]]/Table1567[[#This Row],[Column2]]*0.1</f>
        <v>17.1875</v>
      </c>
      <c r="I18" s="15">
        <f>Table1567[[#This Row],[Column102]]/Table1567[[#This Row],[Column2]]*0.1</f>
        <v>17.1875</v>
      </c>
      <c r="J18">
        <v>10</v>
      </c>
      <c r="M18">
        <f>Table1567[[#This Row],[Column5]]/Table1567[[#This Row],[Column2]]*100</f>
        <v>0</v>
      </c>
      <c r="O18" t="e">
        <f>Table1567[[#This Row],[Column102]]/Table1567[[#This Row],[Column5]]*100</f>
        <v>#DIV/0!</v>
      </c>
      <c r="Q18">
        <v>550</v>
      </c>
      <c r="R18">
        <v>8</v>
      </c>
    </row>
    <row r="19" spans="4:18" x14ac:dyDescent="0.2">
      <c r="D19" s="4" t="s">
        <v>64</v>
      </c>
      <c r="E19">
        <v>2004</v>
      </c>
      <c r="F19">
        <v>1.6</v>
      </c>
      <c r="G19">
        <v>239</v>
      </c>
      <c r="H19" s="15">
        <f>Table1567[[#This Row],[Column102]]/Table1567[[#This Row],[Column2]]*0.1</f>
        <v>14.9375</v>
      </c>
      <c r="I19" s="15">
        <f>Table1567[[#This Row],[Column102]]/Table1567[[#This Row],[Column2]]*0.1</f>
        <v>14.9375</v>
      </c>
      <c r="J19">
        <v>11</v>
      </c>
      <c r="M19">
        <f>Table1567[[#This Row],[Column5]]/Table1567[[#This Row],[Column2]]*100</f>
        <v>0</v>
      </c>
      <c r="O19" t="e">
        <f>Table1567[[#This Row],[Column102]]/Table1567[[#This Row],[Column5]]*100</f>
        <v>#DIV/0!</v>
      </c>
      <c r="Q19">
        <v>239</v>
      </c>
      <c r="R19">
        <v>9</v>
      </c>
    </row>
    <row r="20" spans="4:18" x14ac:dyDescent="0.2">
      <c r="D20" s="7" t="s">
        <v>61</v>
      </c>
      <c r="E20">
        <v>2004</v>
      </c>
      <c r="F20">
        <v>1.6</v>
      </c>
      <c r="G20">
        <v>348</v>
      </c>
      <c r="H20" s="15">
        <f>Table1567[[#This Row],[Column102]]/Table1567[[#This Row],[Column2]]*0.1</f>
        <v>21.75</v>
      </c>
      <c r="I20" s="15">
        <f>Table1567[[#This Row],[Column102]]/Table1567[[#This Row],[Column2]]*0.1</f>
        <v>21.75</v>
      </c>
      <c r="J20">
        <v>9</v>
      </c>
      <c r="M20">
        <f>Table1567[[#This Row],[Column5]]/Table1567[[#This Row],[Column2]]*100</f>
        <v>0</v>
      </c>
      <c r="O20" t="e">
        <f>Table1567[[#This Row],[Column102]]/Table1567[[#This Row],[Column5]]*100</f>
        <v>#DIV/0!</v>
      </c>
      <c r="Q20">
        <v>348</v>
      </c>
      <c r="R20">
        <v>10</v>
      </c>
    </row>
    <row r="21" spans="4:18" x14ac:dyDescent="0.2">
      <c r="D21" s="4" t="s">
        <v>79</v>
      </c>
      <c r="E21">
        <v>2004</v>
      </c>
      <c r="F21">
        <v>5.7</v>
      </c>
      <c r="G21">
        <v>363</v>
      </c>
      <c r="H21" s="15">
        <f>Table1567[[#This Row],[Column102]]/Table1567[[#This Row],[Column2]]*0.1</f>
        <v>6.3684210526315788</v>
      </c>
      <c r="I21" s="15">
        <f>Table1567[[#This Row],[Column102]]/Table1567[[#This Row],[Column2]]*0.1</f>
        <v>6.3684210526315788</v>
      </c>
      <c r="J21">
        <v>13</v>
      </c>
      <c r="M21">
        <f>Table1567[[#This Row],[Column5]]/Table1567[[#This Row],[Column2]]*100</f>
        <v>0</v>
      </c>
      <c r="O21" t="e">
        <f>Table1567[[#This Row],[Column102]]/Table1567[[#This Row],[Column5]]*100</f>
        <v>#DIV/0!</v>
      </c>
      <c r="Q21">
        <v>363</v>
      </c>
      <c r="R21">
        <v>11</v>
      </c>
    </row>
    <row r="22" spans="4:18" x14ac:dyDescent="0.2">
      <c r="D22" s="7" t="s">
        <v>51</v>
      </c>
      <c r="E22">
        <v>2004</v>
      </c>
      <c r="F22">
        <v>2.9</v>
      </c>
      <c r="G22">
        <v>933</v>
      </c>
      <c r="H22" s="15">
        <f>Table1567[[#This Row],[Column102]]/Table1567[[#This Row],[Column2]]*0.1</f>
        <v>32.172413793103452</v>
      </c>
      <c r="I22" s="15">
        <f>Table1567[[#This Row],[Column102]]/Table1567[[#This Row],[Column2]]*0.1</f>
        <v>32.172413793103452</v>
      </c>
      <c r="J22">
        <v>8</v>
      </c>
      <c r="M22">
        <f>Table1567[[#This Row],[Column5]]/Table1567[[#This Row],[Column2]]*100</f>
        <v>0</v>
      </c>
      <c r="O22" t="e">
        <f>Table1567[[#This Row],[Column102]]/Table1567[[#This Row],[Column5]]*100</f>
        <v>#DIV/0!</v>
      </c>
      <c r="Q22">
        <v>933</v>
      </c>
      <c r="R22">
        <v>12</v>
      </c>
    </row>
    <row r="23" spans="4:18" x14ac:dyDescent="0.2">
      <c r="D23" s="4" t="s">
        <v>42</v>
      </c>
      <c r="E23">
        <v>2004</v>
      </c>
      <c r="F23">
        <v>0.94</v>
      </c>
      <c r="G23">
        <v>5491</v>
      </c>
      <c r="H23" s="15">
        <f>Table1567[[#This Row],[Column102]]/Table1567[[#This Row],[Column2]]*0.1</f>
        <v>584.14893617021278</v>
      </c>
      <c r="I23" s="15"/>
      <c r="J23">
        <v>1</v>
      </c>
      <c r="M23">
        <f>Table1567[[#This Row],[Column5]]/Table1567[[#This Row],[Column2]]*100</f>
        <v>0</v>
      </c>
      <c r="O23" t="e">
        <f>Table1567[[#This Row],[Column102]]/Table1567[[#This Row],[Column5]]*100</f>
        <v>#DIV/0!</v>
      </c>
      <c r="Q23">
        <v>5491</v>
      </c>
      <c r="R23">
        <v>13</v>
      </c>
    </row>
    <row r="24" spans="4:18" x14ac:dyDescent="0.2">
      <c r="D24" s="7" t="s">
        <v>53</v>
      </c>
      <c r="E24" t="s">
        <v>128</v>
      </c>
      <c r="F24">
        <v>0.6</v>
      </c>
      <c r="G24">
        <v>263</v>
      </c>
      <c r="H24" s="15">
        <f>Table1567[[#This Row],[Column102]]/Table1567[[#This Row],[Column2]]*0.1</f>
        <v>43.833333333333343</v>
      </c>
      <c r="I24" s="15">
        <f>Table1567[[#This Row],[Column102]]/Table1567[[#This Row],[Column2]]*0.1</f>
        <v>43.833333333333343</v>
      </c>
      <c r="J24">
        <v>5</v>
      </c>
      <c r="M24">
        <f>Table1567[[#This Row],[Column5]]/Table1567[[#This Row],[Column2]]*100</f>
        <v>0</v>
      </c>
      <c r="O24" t="e">
        <f>Table1567[[#This Row],[Column102]]/Table1567[[#This Row],[Column5]]*100</f>
        <v>#DIV/0!</v>
      </c>
      <c r="Q24">
        <v>263</v>
      </c>
      <c r="R24">
        <v>14</v>
      </c>
    </row>
    <row r="25" spans="4:18" x14ac:dyDescent="0.2">
      <c r="D25" s="4" t="s">
        <v>41</v>
      </c>
      <c r="F25" t="s">
        <v>120</v>
      </c>
      <c r="G25">
        <v>150</v>
      </c>
      <c r="H25" s="15"/>
      <c r="I25" s="15"/>
      <c r="J25">
        <v>15</v>
      </c>
      <c r="M25" t="e">
        <f>Table1567[[#This Row],[Column5]]/Table1567[[#This Row],[Column2]]*100</f>
        <v>#VALUE!</v>
      </c>
      <c r="O25" t="e">
        <f>Table1567[[#This Row],[Column102]]/Table1567[[#This Row],[Column5]]*100</f>
        <v>#DIV/0!</v>
      </c>
      <c r="Q25">
        <v>150</v>
      </c>
      <c r="R25">
        <v>15</v>
      </c>
    </row>
    <row r="26" spans="4:18" x14ac:dyDescent="0.2">
      <c r="H26" s="16"/>
      <c r="I26" s="16"/>
      <c r="M26" s="16" t="e">
        <f>Table1567[[#This Row],[Column5]]/Table1567[[#This Row],[Column2]]*100</f>
        <v>#DIV/0!</v>
      </c>
      <c r="O26" s="16" t="e">
        <f>Table1567[[#This Row],[Column102]]/Table1567[[#This Row],[Column5]]*100</f>
        <v>#DIV/0!</v>
      </c>
    </row>
    <row r="27" spans="4:18" x14ac:dyDescent="0.2">
      <c r="H27" s="16"/>
      <c r="I27" s="16"/>
      <c r="M27" s="16" t="e">
        <f>Table1567[[#This Row],[Column5]]/Table1567[[#This Row],[Column2]]*100</f>
        <v>#DIV/0!</v>
      </c>
      <c r="O27" s="16" t="e">
        <f>Table1567[[#This Row],[Column102]]/Table1567[[#This Row],[Column5]]*100</f>
        <v>#DIV/0!</v>
      </c>
    </row>
    <row r="28" spans="4:18" x14ac:dyDescent="0.2">
      <c r="H28" s="16"/>
      <c r="I28" s="16"/>
      <c r="M28" s="16" t="e">
        <f>Table1567[[#This Row],[Column5]]/Table1567[[#This Row],[Column2]]*100</f>
        <v>#DIV/0!</v>
      </c>
      <c r="O28" s="16" t="e">
        <f>Table1567[[#This Row],[Column102]]/Table1567[[#This Row],[Column5]]*100</f>
        <v>#DIV/0!</v>
      </c>
    </row>
    <row r="29" spans="4:18" ht="34" x14ac:dyDescent="0.2">
      <c r="D29" s="1" t="s">
        <v>172</v>
      </c>
      <c r="H29" s="16">
        <v>54</v>
      </c>
      <c r="I29" s="16">
        <v>35</v>
      </c>
      <c r="M29" s="16" t="e">
        <f>Table1567[[#This Row],[Column5]]/Table1567[[#This Row],[Column2]]*100</f>
        <v>#DIV/0!</v>
      </c>
      <c r="O29" s="16" t="e">
        <f>Table1567[[#This Row],[Column102]]/Table1567[[#This Row],[Column5]]*100</f>
        <v>#DIV/0!</v>
      </c>
    </row>
    <row r="30" spans="4:18" ht="34" x14ac:dyDescent="0.2">
      <c r="D30" s="1" t="s">
        <v>162</v>
      </c>
      <c r="H30" s="15">
        <f>H13/H29*100</f>
        <v>163.63636363636363</v>
      </c>
      <c r="I30" s="15">
        <f>H13/I29*100</f>
        <v>252.46753246753246</v>
      </c>
      <c r="M30" s="16" t="e">
        <f>Table1567[[#This Row],[Column5]]/Table1567[[#This Row],[Column2]]*100</f>
        <v>#DIV/0!</v>
      </c>
      <c r="O30" s="16" t="e">
        <f>Table1567[[#This Row],[Column102]]/Table1567[[#This Row],[Column5]]*100</f>
        <v>#DIV/0!</v>
      </c>
    </row>
    <row r="31" spans="4:18" x14ac:dyDescent="0.2">
      <c r="H31" s="16"/>
      <c r="I31" s="16"/>
      <c r="M31" s="16" t="e">
        <f>Table1567[[#This Row],[Column5]]/Table1567[[#This Row],[Column2]]*100</f>
        <v>#DIV/0!</v>
      </c>
      <c r="O31" s="16" t="e">
        <f>Table1567[[#This Row],[Column102]]/Table1567[[#This Row],[Column5]]*100</f>
        <v>#DIV/0!</v>
      </c>
    </row>
    <row r="32" spans="4:18" x14ac:dyDescent="0.2">
      <c r="H32" s="16"/>
      <c r="I32" s="16"/>
      <c r="M32" s="16" t="e">
        <f>Table1567[[#This Row],[Column5]]/Table1567[[#This Row],[Column2]]*100</f>
        <v>#DIV/0!</v>
      </c>
      <c r="O32" s="16" t="e">
        <f>Table1567[[#This Row],[Column102]]/Table1567[[#This Row],[Column5]]*100</f>
        <v>#DIV/0!</v>
      </c>
    </row>
    <row r="33" spans="5:18" x14ac:dyDescent="0.2">
      <c r="E33" s="17"/>
      <c r="F33" s="17"/>
      <c r="G33" s="17"/>
      <c r="H33" s="19"/>
      <c r="I33" s="19" t="e">
        <f>Table1567[[#This Row],[Column102]]/Table1567[[#This Row],[Column2]]*0.1</f>
        <v>#DIV/0!</v>
      </c>
      <c r="J33" s="17"/>
      <c r="K33" s="17"/>
      <c r="L33" s="17"/>
      <c r="M33" s="19" t="e">
        <f>Table1567[[#This Row],[Column5]]/Table1567[[#This Row],[Column2]]*100</f>
        <v>#DIV/0!</v>
      </c>
      <c r="N33" s="17"/>
      <c r="O33" s="19" t="e">
        <f>Table1567[[#This Row],[Column102]]/Table1567[[#This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D9:R33"/>
  <sheetViews>
    <sheetView topLeftCell="A7" workbookViewId="0">
      <selection activeCell="G7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t="s">
        <v>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10" t="s">
        <v>67</v>
      </c>
      <c r="E11" t="s">
        <v>126</v>
      </c>
      <c r="F11">
        <v>0.6</v>
      </c>
      <c r="G11">
        <v>483</v>
      </c>
      <c r="H11" s="15">
        <f>Table15678[[#This Row],[Column102]]/Table15678[[#This Row],[Column2]]*0.1</f>
        <v>80.5</v>
      </c>
      <c r="I11" s="15">
        <f>Table15678[[#This Row],[Column102]]/Table15678[[#This Row],[Column2]]*0.1</f>
        <v>80.5</v>
      </c>
      <c r="J11">
        <v>4</v>
      </c>
      <c r="M11">
        <f>Table15678[[#This Row],[Column5]]/Table15678[[#This Row],[Column2]]*100</f>
        <v>0</v>
      </c>
      <c r="O11" t="e">
        <f>Table15678[[#This Row],[Column102]]/Table15678[[#This Row],[Column5]]*100</f>
        <v>#DIV/0!</v>
      </c>
      <c r="Q11">
        <v>483</v>
      </c>
      <c r="R11">
        <v>1</v>
      </c>
    </row>
    <row r="12" spans="4:18" ht="34" x14ac:dyDescent="0.2">
      <c r="D12" s="9" t="s">
        <v>75</v>
      </c>
      <c r="E12" t="s">
        <v>125</v>
      </c>
      <c r="F12">
        <v>1</v>
      </c>
      <c r="G12">
        <v>477</v>
      </c>
      <c r="H12" s="15">
        <f>Table15678[[#This Row],[Column102]]/Table15678[[#This Row],[Column2]]*0.1</f>
        <v>47.7</v>
      </c>
      <c r="I12" s="15">
        <f>Table15678[[#This Row],[Column102]]/Table15678[[#This Row],[Column2]]*0.1</f>
        <v>47.7</v>
      </c>
      <c r="J12">
        <v>5</v>
      </c>
      <c r="M12">
        <f>Table15678[[#This Row],[Column5]]/Table15678[[#This Row],[Column2]]*100</f>
        <v>0</v>
      </c>
      <c r="O12" t="e">
        <f>Table15678[[#This Row],[Column102]]/Table15678[[#This Row],[Column5]]*100</f>
        <v>#DIV/0!</v>
      </c>
      <c r="Q12">
        <v>477</v>
      </c>
      <c r="R12">
        <v>2</v>
      </c>
    </row>
    <row r="13" spans="4:18" ht="34" x14ac:dyDescent="0.2">
      <c r="D13" s="10" t="s">
        <v>23</v>
      </c>
      <c r="E13">
        <v>2006</v>
      </c>
      <c r="F13">
        <v>1.3</v>
      </c>
      <c r="G13">
        <v>1136</v>
      </c>
      <c r="H13" s="15">
        <v>87</v>
      </c>
      <c r="I13" s="15"/>
      <c r="J13">
        <v>2</v>
      </c>
      <c r="M13">
        <f>Table15678[[#This Row],[Column5]]/Table15678[[#This Row],[Column2]]*100</f>
        <v>0</v>
      </c>
      <c r="O13" t="e">
        <f>Table15678[[#This Row],[Column102]]/Table15678[[#This Row],[Column5]]*100</f>
        <v>#DIV/0!</v>
      </c>
      <c r="Q13">
        <v>1136</v>
      </c>
      <c r="R13">
        <v>3</v>
      </c>
    </row>
    <row r="14" spans="4:18" ht="17" x14ac:dyDescent="0.2">
      <c r="D14" s="9" t="s">
        <v>43</v>
      </c>
      <c r="E14">
        <v>2005</v>
      </c>
      <c r="F14">
        <v>1</v>
      </c>
      <c r="G14">
        <v>1232</v>
      </c>
      <c r="H14" s="15">
        <v>123</v>
      </c>
      <c r="I14" s="15"/>
      <c r="J14">
        <v>1</v>
      </c>
      <c r="M14">
        <f>Table15678[[#This Row],[Column5]]/Table15678[[#This Row],[Column2]]*100</f>
        <v>0</v>
      </c>
      <c r="O14" t="e">
        <f>Table15678[[#This Row],[Column102]]/Table15678[[#This Row],[Column5]]*100</f>
        <v>#DIV/0!</v>
      </c>
      <c r="Q14">
        <v>1232</v>
      </c>
      <c r="R14">
        <v>4</v>
      </c>
    </row>
    <row r="15" spans="4:18" ht="17" x14ac:dyDescent="0.2">
      <c r="D15" s="10" t="s">
        <v>80</v>
      </c>
      <c r="E15">
        <v>2005</v>
      </c>
      <c r="F15">
        <v>28.2</v>
      </c>
      <c r="G15">
        <v>4658</v>
      </c>
      <c r="H15" s="15">
        <f>Table15678[[#This Row],[Column102]]/Table15678[[#This Row],[Column2]]*0.1</f>
        <v>16.517730496453904</v>
      </c>
      <c r="I15" s="15">
        <f>Table15678[[#This Row],[Column102]]/Table15678[[#This Row],[Column2]]*0.1</f>
        <v>16.517730496453904</v>
      </c>
      <c r="J15">
        <v>11</v>
      </c>
      <c r="M15">
        <f>Table15678[[#This Row],[Column5]]/Table15678[[#This Row],[Column2]]*100</f>
        <v>0</v>
      </c>
      <c r="O15" t="e">
        <f>Table15678[[#This Row],[Column102]]/Table15678[[#This Row],[Column5]]*100</f>
        <v>#DIV/0!</v>
      </c>
      <c r="Q15">
        <v>4658</v>
      </c>
      <c r="R15">
        <v>5</v>
      </c>
    </row>
    <row r="16" spans="4:18" ht="17" x14ac:dyDescent="0.2">
      <c r="D16" s="9" t="s">
        <v>58</v>
      </c>
      <c r="E16">
        <v>2005</v>
      </c>
      <c r="F16">
        <v>3.6</v>
      </c>
      <c r="G16">
        <v>735</v>
      </c>
      <c r="H16" s="15">
        <f>Table15678[[#This Row],[Column102]]/Table15678[[#This Row],[Column2]]*0.1</f>
        <v>20.416666666666668</v>
      </c>
      <c r="I16" s="15">
        <f>Table15678[[#This Row],[Column102]]/Table15678[[#This Row],[Column2]]*0.1</f>
        <v>20.416666666666668</v>
      </c>
      <c r="J16">
        <v>9</v>
      </c>
      <c r="M16">
        <f>Table15678[[#This Row],[Column5]]/Table15678[[#This Row],[Column2]]*100</f>
        <v>0</v>
      </c>
      <c r="O16" t="e">
        <f>Table15678[[#This Row],[Column102]]/Table15678[[#This Row],[Column5]]*100</f>
        <v>#DIV/0!</v>
      </c>
      <c r="Q16">
        <v>735</v>
      </c>
      <c r="R16">
        <v>6</v>
      </c>
    </row>
    <row r="17" spans="4:18" ht="17" x14ac:dyDescent="0.2">
      <c r="D17" s="10" t="s">
        <v>52</v>
      </c>
      <c r="E17">
        <v>2005</v>
      </c>
      <c r="F17">
        <v>3.2</v>
      </c>
      <c r="G17">
        <v>102</v>
      </c>
      <c r="H17" s="15">
        <f>Table15678[[#This Row],[Column102]]/Table15678[[#This Row],[Column2]]*0.1</f>
        <v>3.1875</v>
      </c>
      <c r="I17" s="15"/>
      <c r="J17">
        <v>15</v>
      </c>
      <c r="M17">
        <f>Table15678[[#This Row],[Column5]]/Table15678[[#This Row],[Column2]]*100</f>
        <v>0</v>
      </c>
      <c r="O17" t="e">
        <f>Table15678[[#This Row],[Column102]]/Table15678[[#This Row],[Column5]]*100</f>
        <v>#DIV/0!</v>
      </c>
      <c r="Q17">
        <v>102</v>
      </c>
      <c r="R17">
        <v>7</v>
      </c>
    </row>
    <row r="18" spans="4:18" ht="17" x14ac:dyDescent="0.2">
      <c r="D18" s="9" t="s">
        <v>81</v>
      </c>
      <c r="E18">
        <v>2005</v>
      </c>
      <c r="F18">
        <v>10.5</v>
      </c>
      <c r="G18">
        <v>1512</v>
      </c>
      <c r="H18" s="15">
        <f>Table15678[[#This Row],[Column102]]/Table15678[[#This Row],[Column2]]*0.1</f>
        <v>14.4</v>
      </c>
      <c r="I18" s="15">
        <f>Table15678[[#This Row],[Column102]]/Table15678[[#This Row],[Column2]]*0.1</f>
        <v>14.4</v>
      </c>
      <c r="J18">
        <v>13</v>
      </c>
      <c r="M18">
        <f>Table15678[[#This Row],[Column5]]/Table15678[[#This Row],[Column2]]*100</f>
        <v>0</v>
      </c>
      <c r="O18" t="e">
        <f>Table15678[[#This Row],[Column102]]/Table15678[[#This Row],[Column5]]*100</f>
        <v>#DIV/0!</v>
      </c>
      <c r="Q18">
        <v>1512</v>
      </c>
      <c r="R18">
        <v>8</v>
      </c>
    </row>
    <row r="19" spans="4:18" ht="17" x14ac:dyDescent="0.2">
      <c r="D19" s="10" t="s">
        <v>64</v>
      </c>
      <c r="E19">
        <v>2005</v>
      </c>
      <c r="F19">
        <v>1.2</v>
      </c>
      <c r="G19">
        <v>254</v>
      </c>
      <c r="H19" s="15">
        <f>Table15678[[#This Row],[Column102]]/Table15678[[#This Row],[Column2]]*0.1</f>
        <v>21.166666666666671</v>
      </c>
      <c r="I19" s="15">
        <f>Table15678[[#This Row],[Column102]]/Table15678[[#This Row],[Column2]]*0.1</f>
        <v>21.166666666666671</v>
      </c>
      <c r="J19">
        <v>8</v>
      </c>
      <c r="M19">
        <f>Table15678[[#This Row],[Column5]]/Table15678[[#This Row],[Column2]]*100</f>
        <v>0</v>
      </c>
      <c r="O19" t="e">
        <f>Table15678[[#This Row],[Column102]]/Table15678[[#This Row],[Column5]]*100</f>
        <v>#DIV/0!</v>
      </c>
      <c r="Q19">
        <v>254</v>
      </c>
      <c r="R19">
        <v>9</v>
      </c>
    </row>
    <row r="20" spans="4:18" ht="17" x14ac:dyDescent="0.2">
      <c r="D20" s="9" t="s">
        <v>61</v>
      </c>
      <c r="E20">
        <v>2005</v>
      </c>
      <c r="F20">
        <v>2.5</v>
      </c>
      <c r="G20">
        <v>365</v>
      </c>
      <c r="H20" s="15">
        <f>Table15678[[#This Row],[Column102]]/Table15678[[#This Row],[Column2]]*0.1</f>
        <v>14.600000000000001</v>
      </c>
      <c r="I20" s="15">
        <f>Table15678[[#This Row],[Column102]]/Table15678[[#This Row],[Column2]]*0.1</f>
        <v>14.600000000000001</v>
      </c>
      <c r="J20">
        <v>12</v>
      </c>
      <c r="M20">
        <f>Table15678[[#This Row],[Column5]]/Table15678[[#This Row],[Column2]]*100</f>
        <v>0</v>
      </c>
      <c r="O20" t="e">
        <f>Table15678[[#This Row],[Column102]]/Table15678[[#This Row],[Column5]]*100</f>
        <v>#DIV/0!</v>
      </c>
      <c r="Q20">
        <v>365</v>
      </c>
      <c r="R20">
        <v>10</v>
      </c>
    </row>
    <row r="21" spans="4:18" ht="17" x14ac:dyDescent="0.2">
      <c r="D21" s="10" t="s">
        <v>37</v>
      </c>
      <c r="E21">
        <v>2005</v>
      </c>
      <c r="F21">
        <v>3.6</v>
      </c>
      <c r="G21">
        <v>610</v>
      </c>
      <c r="H21" s="15">
        <f>Table15678[[#This Row],[Column102]]/Table15678[[#This Row],[Column2]]*0.1</f>
        <v>16.944444444444443</v>
      </c>
      <c r="I21" s="15">
        <f>Table15678[[#This Row],[Column102]]/Table15678[[#This Row],[Column2]]*0.1</f>
        <v>16.944444444444443</v>
      </c>
      <c r="J21">
        <v>10</v>
      </c>
      <c r="M21">
        <f>Table15678[[#This Row],[Column5]]/Table15678[[#This Row],[Column2]]*100</f>
        <v>0</v>
      </c>
      <c r="O21" t="e">
        <f>Table15678[[#This Row],[Column102]]/Table15678[[#This Row],[Column5]]*100</f>
        <v>#DIV/0!</v>
      </c>
      <c r="Q21">
        <v>610</v>
      </c>
      <c r="R21">
        <v>11</v>
      </c>
    </row>
    <row r="22" spans="4:18" ht="17" x14ac:dyDescent="0.2">
      <c r="D22" s="9" t="s">
        <v>82</v>
      </c>
      <c r="E22" t="s">
        <v>127</v>
      </c>
      <c r="F22">
        <v>0.9</v>
      </c>
      <c r="G22">
        <v>32</v>
      </c>
      <c r="H22" s="15">
        <f>Table15678[[#This Row],[Column102]]/Table15678[[#This Row],[Column2]]*0.1</f>
        <v>3.5555555555555558</v>
      </c>
      <c r="I22" s="15">
        <f>Table15678[[#This Row],[Column102]]/Table15678[[#This Row],[Column2]]*0.1</f>
        <v>3.5555555555555558</v>
      </c>
      <c r="J22">
        <v>14</v>
      </c>
      <c r="M22">
        <f>Table15678[[#This Row],[Column5]]/Table15678[[#This Row],[Column2]]*100</f>
        <v>0</v>
      </c>
      <c r="O22" t="e">
        <f>Table15678[[#This Row],[Column102]]/Table15678[[#This Row],[Column5]]*100</f>
        <v>#DIV/0!</v>
      </c>
      <c r="Q22">
        <v>32</v>
      </c>
      <c r="R22">
        <v>12</v>
      </c>
    </row>
    <row r="23" spans="4:18" ht="17" x14ac:dyDescent="0.2">
      <c r="D23" s="10" t="s">
        <v>53</v>
      </c>
      <c r="E23">
        <v>2005</v>
      </c>
      <c r="F23">
        <v>0.6</v>
      </c>
      <c r="G23">
        <v>276</v>
      </c>
      <c r="H23" s="15">
        <f>Table15678[[#This Row],[Column102]]/Table15678[[#This Row],[Column2]]*0.1</f>
        <v>46</v>
      </c>
      <c r="I23" s="15">
        <f>Table15678[[#This Row],[Column102]]/Table15678[[#This Row],[Column2]]*0.1</f>
        <v>46</v>
      </c>
      <c r="J23">
        <v>6</v>
      </c>
      <c r="M23">
        <f>Table15678[[#This Row],[Column5]]/Table15678[[#This Row],[Column2]]*100</f>
        <v>0</v>
      </c>
      <c r="O23" t="e">
        <f>Table15678[[#This Row],[Column102]]/Table15678[[#This Row],[Column5]]*100</f>
        <v>#DIV/0!</v>
      </c>
      <c r="Q23">
        <v>276</v>
      </c>
      <c r="R23">
        <v>13</v>
      </c>
    </row>
    <row r="24" spans="4:18" ht="17" x14ac:dyDescent="0.2">
      <c r="D24" s="9" t="s">
        <v>83</v>
      </c>
      <c r="E24">
        <v>2005</v>
      </c>
      <c r="F24">
        <v>0.5</v>
      </c>
      <c r="G24">
        <v>115</v>
      </c>
      <c r="H24" s="15">
        <f>Table15678[[#This Row],[Column102]]/Table15678[[#This Row],[Column2]]*0.1</f>
        <v>23</v>
      </c>
      <c r="I24" s="15">
        <f>Table15678[[#This Row],[Column102]]/Table15678[[#This Row],[Column2]]*0.1</f>
        <v>23</v>
      </c>
      <c r="J24">
        <v>7</v>
      </c>
      <c r="M24">
        <f>Table15678[[#This Row],[Column5]]/Table15678[[#This Row],[Column2]]*100</f>
        <v>0</v>
      </c>
      <c r="O24" t="e">
        <f>Table15678[[#This Row],[Column102]]/Table15678[[#This Row],[Column5]]*100</f>
        <v>#DIV/0!</v>
      </c>
      <c r="Q24">
        <v>115</v>
      </c>
      <c r="R24">
        <v>14</v>
      </c>
    </row>
    <row r="25" spans="4:18" ht="17" x14ac:dyDescent="0.2">
      <c r="D25" s="10" t="s">
        <v>49</v>
      </c>
      <c r="E25">
        <v>2005</v>
      </c>
      <c r="F25">
        <v>1.3</v>
      </c>
      <c r="G25">
        <v>1134</v>
      </c>
      <c r="H25" s="15">
        <f>Table15678[[#This Row],[Column102]]/Table15678[[#This Row],[Column2]]*0.1</f>
        <v>87.230769230769226</v>
      </c>
      <c r="I25" s="15">
        <f>Table15678[[#This Row],[Column102]]/Table15678[[#This Row],[Column2]]*0.1</f>
        <v>87.230769230769226</v>
      </c>
      <c r="J25">
        <v>3</v>
      </c>
      <c r="M25">
        <f>Table15678[[#This Row],[Column5]]/Table15678[[#This Row],[Column2]]*100</f>
        <v>0</v>
      </c>
      <c r="O25" t="e">
        <f>Table15678[[#This Row],[Column102]]/Table15678[[#This Row],[Column5]]*100</f>
        <v>#DIV/0!</v>
      </c>
      <c r="Q25">
        <v>1134</v>
      </c>
      <c r="R25">
        <v>15</v>
      </c>
    </row>
    <row r="26" spans="4:18" x14ac:dyDescent="0.2">
      <c r="D26" s="4"/>
      <c r="H26" s="15"/>
      <c r="I26" s="15"/>
      <c r="M26" s="16" t="e">
        <f>Table15678[[#This Row],[Column5]]/Table15678[[#This Row],[Column2]]*100</f>
        <v>#DIV/0!</v>
      </c>
      <c r="O26" s="16" t="e">
        <f>Table15678[[#This Row],[Column102]]/Table15678[[#This Row],[Column5]]*100</f>
        <v>#DIV/0!</v>
      </c>
    </row>
    <row r="27" spans="4:18" x14ac:dyDescent="0.2">
      <c r="H27" s="15"/>
      <c r="I27" s="15"/>
      <c r="M27" s="16" t="e">
        <f>Table15678[[#This Row],[Column5]]/Table15678[[#This Row],[Column2]]*100</f>
        <v>#DIV/0!</v>
      </c>
      <c r="O27" s="16" t="e">
        <f>Table15678[[#This Row],[Column102]]/Table15678[[#This Row],[Column5]]*100</f>
        <v>#DIV/0!</v>
      </c>
    </row>
    <row r="28" spans="4:18" x14ac:dyDescent="0.2">
      <c r="H28" s="15"/>
      <c r="I28" s="15"/>
      <c r="M28" s="16" t="e">
        <f>Table15678[[#This Row],[Column5]]/Table15678[[#This Row],[Column2]]*100</f>
        <v>#DIV/0!</v>
      </c>
      <c r="O28" s="16" t="e">
        <f>Table15678[[#This Row],[Column102]]/Table15678[[#This Row],[Column5]]*100</f>
        <v>#DIV/0!</v>
      </c>
    </row>
    <row r="29" spans="4:18" ht="34" x14ac:dyDescent="0.2">
      <c r="D29" s="1" t="s">
        <v>172</v>
      </c>
      <c r="H29" s="15">
        <v>37</v>
      </c>
      <c r="I29" s="15">
        <v>33</v>
      </c>
      <c r="M29" s="16" t="e">
        <f>Table15678[[#This Row],[Column5]]/Table15678[[#This Row],[Column2]]*100</f>
        <v>#DIV/0!</v>
      </c>
      <c r="O29" s="16" t="e">
        <f>Table15678[[#This Row],[Column102]]/Table15678[[#This Row],[Column5]]*100</f>
        <v>#DIV/0!</v>
      </c>
    </row>
    <row r="30" spans="4:18" ht="34" x14ac:dyDescent="0.2">
      <c r="D30" s="1" t="s">
        <v>162</v>
      </c>
      <c r="H30" s="15">
        <f>H13/H29*100</f>
        <v>235.13513513513513</v>
      </c>
      <c r="I30" s="15">
        <f>H13/I29*100</f>
        <v>263.63636363636363</v>
      </c>
      <c r="M30" s="16" t="e">
        <f>Table15678[[#This Row],[Column5]]/Table15678[[#This Row],[Column2]]*100</f>
        <v>#DIV/0!</v>
      </c>
      <c r="O30" s="16" t="e">
        <f>Table15678[[#This Row],[Column102]]/Table15678[[#This Row],[Column5]]*100</f>
        <v>#DIV/0!</v>
      </c>
    </row>
    <row r="31" spans="4:18" x14ac:dyDescent="0.2">
      <c r="H31" s="15"/>
      <c r="I31" s="15"/>
      <c r="M31" s="16" t="e">
        <f>Table15678[[#This Row],[Column5]]/Table15678[[#This Row],[Column2]]*100</f>
        <v>#DIV/0!</v>
      </c>
      <c r="O31" s="16" t="e">
        <f>Table15678[[#This Row],[Column102]]/Table15678[[#This Row],[Column5]]*100</f>
        <v>#DIV/0!</v>
      </c>
    </row>
    <row r="32" spans="4:18" x14ac:dyDescent="0.2">
      <c r="H32" s="15"/>
      <c r="I32" s="15"/>
      <c r="M32" s="16" t="e">
        <f>Table15678[[#This Row],[Column5]]/Table15678[[#This Row],[Column2]]*100</f>
        <v>#DIV/0!</v>
      </c>
      <c r="O32" s="16" t="e">
        <f>Table15678[[#This Row],[Column102]]/Table15678[[#This Row],[Column5]]*100</f>
        <v>#DIV/0!</v>
      </c>
    </row>
    <row r="33" spans="5:18" x14ac:dyDescent="0.2">
      <c r="E33" s="17"/>
      <c r="F33" s="17"/>
      <c r="G33" s="17"/>
      <c r="H33" s="18"/>
      <c r="I33" s="18"/>
      <c r="J33" s="17"/>
      <c r="K33" s="17"/>
      <c r="L33" s="17"/>
      <c r="M33" s="19" t="e">
        <f>Table15678[[#This Row],[Column5]]/Table15678[[#This Row],[Column2]]*100</f>
        <v>#DIV/0!</v>
      </c>
      <c r="N33" s="17"/>
      <c r="O33" s="19" t="e">
        <f>Table15678[[#This Row],[Column102]]/Table15678[[#This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D9:R33"/>
  <sheetViews>
    <sheetView topLeftCell="A6" workbookViewId="0">
      <selection activeCell="G6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1" t="s">
        <v>84</v>
      </c>
      <c r="E11">
        <v>2006</v>
      </c>
      <c r="F11">
        <v>1.1000000000000001</v>
      </c>
      <c r="G11">
        <v>1449</v>
      </c>
      <c r="H11" s="15">
        <f>Table1567891014[[#This Row],[Column102]]/Table1567891014[[#This Row],[Column2]]*0.1</f>
        <v>131.72727272727272</v>
      </c>
      <c r="I11" s="15"/>
      <c r="J11">
        <v>1</v>
      </c>
      <c r="M11">
        <f>Table1567891014[[#This Row],[Column5]]/Table1567891014[[#This Row],[Column2]]*100</f>
        <v>0</v>
      </c>
      <c r="O11" t="e">
        <f>Table1567891014[[#This Row],[Column102]]/Table1567891014[[#This Row],[Column5]]*100</f>
        <v>#DIV/0!</v>
      </c>
      <c r="Q11">
        <v>1449</v>
      </c>
      <c r="R11">
        <v>1</v>
      </c>
    </row>
    <row r="12" spans="4:18" ht="34" x14ac:dyDescent="0.2">
      <c r="D12" s="1" t="s">
        <v>85</v>
      </c>
      <c r="E12">
        <v>2007</v>
      </c>
      <c r="F12">
        <v>1.6</v>
      </c>
      <c r="G12">
        <v>1102</v>
      </c>
      <c r="H12" s="15">
        <f>Table1567891014[[#This Row],[Column102]]/Table1567891014[[#This Row],[Column2]]*0.1</f>
        <v>68.875</v>
      </c>
      <c r="I12" s="15"/>
      <c r="J12">
        <v>2</v>
      </c>
      <c r="M12">
        <f>Table1567891014[[#This Row],[Column5]]/Table1567891014[[#This Row],[Column2]]*100</f>
        <v>0</v>
      </c>
      <c r="O12" t="e">
        <f>Table1567891014[[#This Row],[Column102]]/Table1567891014[[#This Row],[Column5]]*100</f>
        <v>#DIV/0!</v>
      </c>
      <c r="Q12">
        <v>1102</v>
      </c>
      <c r="R12">
        <v>2</v>
      </c>
    </row>
    <row r="13" spans="4:18" x14ac:dyDescent="0.2">
      <c r="D13" t="s">
        <v>26</v>
      </c>
      <c r="E13" t="s">
        <v>118</v>
      </c>
      <c r="F13">
        <v>0.3</v>
      </c>
      <c r="G13">
        <v>189</v>
      </c>
      <c r="H13" s="15">
        <f>Table1567891014[[#This Row],[Column102]]/Table1567891014[[#This Row],[Column2]]*0.1</f>
        <v>63</v>
      </c>
      <c r="I13" s="15">
        <f>Table1567891014[[#This Row],[Column102]]/Table1567891014[[#This Row],[Column2]]*0.1</f>
        <v>63</v>
      </c>
      <c r="J13">
        <v>3</v>
      </c>
      <c r="M13">
        <f>Table1567891014[[#This Row],[Column5]]/Table1567891014[[#This Row],[Column2]]*100</f>
        <v>0</v>
      </c>
      <c r="O13" t="e">
        <f>Table1567891014[[#This Row],[Column102]]/Table1567891014[[#This Row],[Column5]]*100</f>
        <v>#DIV/0!</v>
      </c>
      <c r="Q13">
        <v>189</v>
      </c>
      <c r="R13">
        <v>3</v>
      </c>
    </row>
    <row r="14" spans="4:18" x14ac:dyDescent="0.2">
      <c r="D14" t="s">
        <v>58</v>
      </c>
      <c r="E14">
        <v>2006</v>
      </c>
      <c r="F14">
        <v>4.4000000000000004</v>
      </c>
      <c r="G14">
        <v>140</v>
      </c>
      <c r="H14" s="15">
        <f>Table1567891014[[#This Row],[Column102]]/Table1567891014[[#This Row],[Column2]]*0.1</f>
        <v>3.1818181818181817</v>
      </c>
      <c r="I14" s="15">
        <f>Table1567891014[[#This Row],[Column102]]/Table1567891014[[#This Row],[Column2]]*0.1</f>
        <v>3.1818181818181817</v>
      </c>
      <c r="J14">
        <v>13</v>
      </c>
      <c r="M14">
        <f>Table1567891014[[#This Row],[Column5]]/Table1567891014[[#This Row],[Column2]]*100</f>
        <v>0</v>
      </c>
      <c r="O14" t="e">
        <f>Table1567891014[[#This Row],[Column102]]/Table1567891014[[#This Row],[Column5]]*100</f>
        <v>#DIV/0!</v>
      </c>
      <c r="Q14">
        <v>140</v>
      </c>
      <c r="R14">
        <v>4</v>
      </c>
    </row>
    <row r="15" spans="4:18" x14ac:dyDescent="0.2">
      <c r="D15" t="s">
        <v>81</v>
      </c>
      <c r="E15">
        <v>2006</v>
      </c>
      <c r="F15">
        <v>11.1</v>
      </c>
      <c r="G15">
        <v>139</v>
      </c>
      <c r="H15" s="15">
        <f>Table1567891014[[#This Row],[Column102]]/Table1567891014[[#This Row],[Column2]]*0.1</f>
        <v>1.2522522522522523</v>
      </c>
      <c r="I15" s="15"/>
      <c r="J15">
        <v>15</v>
      </c>
      <c r="M15">
        <f>Table1567891014[[#This Row],[Column5]]/Table1567891014[[#This Row],[Column2]]*100</f>
        <v>0</v>
      </c>
      <c r="O15" t="e">
        <f>Table1567891014[[#This Row],[Column102]]/Table1567891014[[#This Row],[Column5]]*100</f>
        <v>#DIV/0!</v>
      </c>
      <c r="Q15">
        <v>139</v>
      </c>
      <c r="R15">
        <v>5</v>
      </c>
    </row>
    <row r="16" spans="4:18" x14ac:dyDescent="0.2">
      <c r="D16" t="s">
        <v>43</v>
      </c>
      <c r="E16">
        <v>2006</v>
      </c>
      <c r="F16">
        <v>1.3</v>
      </c>
      <c r="G16">
        <v>135</v>
      </c>
      <c r="H16" s="15">
        <f>Table1567891014[[#This Row],[Column102]]/Table1567891014[[#This Row],[Column2]]*0.1</f>
        <v>10.384615384615385</v>
      </c>
      <c r="I16" s="15">
        <f>Table1567891014[[#This Row],[Column102]]/Table1567891014[[#This Row],[Column2]]*0.1</f>
        <v>10.384615384615385</v>
      </c>
      <c r="J16">
        <v>8</v>
      </c>
      <c r="M16">
        <f>Table1567891014[[#This Row],[Column5]]/Table1567891014[[#This Row],[Column2]]*100</f>
        <v>0</v>
      </c>
      <c r="O16" t="e">
        <f>Table1567891014[[#This Row],[Column102]]/Table1567891014[[#This Row],[Column5]]*100</f>
        <v>#DIV/0!</v>
      </c>
      <c r="Q16">
        <v>135</v>
      </c>
      <c r="R16">
        <v>6</v>
      </c>
    </row>
    <row r="17" spans="4:18" x14ac:dyDescent="0.2">
      <c r="D17" t="s">
        <v>37</v>
      </c>
      <c r="E17">
        <v>2006</v>
      </c>
      <c r="F17">
        <v>4.7</v>
      </c>
      <c r="G17">
        <v>115</v>
      </c>
      <c r="H17" s="15">
        <f>Table1567891014[[#This Row],[Column102]]/Table1567891014[[#This Row],[Column2]]*0.1</f>
        <v>2.4468085106382982</v>
      </c>
      <c r="I17" s="15">
        <f>Table1567891014[[#This Row],[Column102]]/Table1567891014[[#This Row],[Column2]]*0.1</f>
        <v>2.4468085106382982</v>
      </c>
      <c r="J17">
        <v>14</v>
      </c>
      <c r="M17">
        <f>Table1567891014[[#This Row],[Column5]]/Table1567891014[[#This Row],[Column2]]*100</f>
        <v>0</v>
      </c>
      <c r="O17" t="e">
        <f>Table1567891014[[#This Row],[Column102]]/Table1567891014[[#This Row],[Column5]]*100</f>
        <v>#DIV/0!</v>
      </c>
      <c r="Q17">
        <v>115</v>
      </c>
      <c r="R17">
        <v>7</v>
      </c>
    </row>
    <row r="18" spans="4:18" x14ac:dyDescent="0.2">
      <c r="D18" t="s">
        <v>64</v>
      </c>
      <c r="E18">
        <v>2006</v>
      </c>
      <c r="F18">
        <v>2.1</v>
      </c>
      <c r="G18">
        <v>113</v>
      </c>
      <c r="H18" s="15">
        <f>Table1567891014[[#This Row],[Column102]]/Table1567891014[[#This Row],[Column2]]*0.1</f>
        <v>5.3809523809523814</v>
      </c>
      <c r="I18" s="15">
        <f>Table1567891014[[#This Row],[Column102]]/Table1567891014[[#This Row],[Column2]]*0.1</f>
        <v>5.3809523809523814</v>
      </c>
      <c r="J18">
        <v>9</v>
      </c>
      <c r="M18">
        <f>Table1567891014[[#This Row],[Column5]]/Table1567891014[[#This Row],[Column2]]*100</f>
        <v>0</v>
      </c>
      <c r="O18" t="e">
        <f>Table1567891014[[#This Row],[Column102]]/Table1567891014[[#This Row],[Column5]]*100</f>
        <v>#DIV/0!</v>
      </c>
      <c r="Q18">
        <v>113</v>
      </c>
      <c r="R18">
        <v>8</v>
      </c>
    </row>
    <row r="19" spans="4:18" x14ac:dyDescent="0.2">
      <c r="D19" t="s">
        <v>61</v>
      </c>
      <c r="E19">
        <v>2006</v>
      </c>
      <c r="F19">
        <v>2.4</v>
      </c>
      <c r="G19">
        <v>102</v>
      </c>
      <c r="H19" s="15">
        <f>Table1567891014[[#This Row],[Column102]]/Table1567891014[[#This Row],[Column2]]*0.1</f>
        <v>4.25</v>
      </c>
      <c r="I19" s="15">
        <f>Table1567891014[[#This Row],[Column102]]/Table1567891014[[#This Row],[Column2]]*0.1</f>
        <v>4.25</v>
      </c>
      <c r="J19">
        <v>12</v>
      </c>
      <c r="M19">
        <f>Table1567891014[[#This Row],[Column5]]/Table1567891014[[#This Row],[Column2]]*100</f>
        <v>0</v>
      </c>
      <c r="O19" t="e">
        <f>Table1567891014[[#This Row],[Column102]]/Table1567891014[[#This Row],[Column5]]*100</f>
        <v>#DIV/0!</v>
      </c>
      <c r="Q19">
        <v>102</v>
      </c>
      <c r="R19">
        <v>9</v>
      </c>
    </row>
    <row r="20" spans="4:18" x14ac:dyDescent="0.2">
      <c r="D20" t="s">
        <v>30</v>
      </c>
      <c r="E20">
        <v>2007</v>
      </c>
      <c r="F20">
        <v>0.3</v>
      </c>
      <c r="G20">
        <v>98</v>
      </c>
      <c r="H20" s="15">
        <f>Table1567891014[[#This Row],[Column102]]/Table1567891014[[#This Row],[Column2]]*0.1</f>
        <v>32.666666666666671</v>
      </c>
      <c r="I20" s="15">
        <f>Table1567891014[[#This Row],[Column102]]/Table1567891014[[#This Row],[Column2]]*0.1</f>
        <v>32.666666666666671</v>
      </c>
      <c r="J20">
        <v>4</v>
      </c>
      <c r="M20">
        <f>Table1567891014[[#This Row],[Column5]]/Table1567891014[[#This Row],[Column2]]*100</f>
        <v>0</v>
      </c>
      <c r="O20" t="e">
        <f>Table1567891014[[#This Row],[Column102]]/Table1567891014[[#This Row],[Column5]]*100</f>
        <v>#DIV/0!</v>
      </c>
      <c r="Q20">
        <v>98</v>
      </c>
      <c r="R20">
        <v>10</v>
      </c>
    </row>
    <row r="21" spans="4:18" x14ac:dyDescent="0.2">
      <c r="D21" t="s">
        <v>33</v>
      </c>
      <c r="E21" t="s">
        <v>123</v>
      </c>
      <c r="F21">
        <v>0.4</v>
      </c>
      <c r="G21">
        <v>98</v>
      </c>
      <c r="H21" s="15">
        <f>Table1567891014[[#This Row],[Column102]]/Table1567891014[[#This Row],[Column2]]*0.1</f>
        <v>24.5</v>
      </c>
      <c r="I21" s="15">
        <f>Table1567891014[[#This Row],[Column102]]/Table1567891014[[#This Row],[Column2]]*0.1</f>
        <v>24.5</v>
      </c>
      <c r="J21">
        <v>5</v>
      </c>
      <c r="M21">
        <f>Table1567891014[[#This Row],[Column5]]/Table1567891014[[#This Row],[Column2]]*100</f>
        <v>0</v>
      </c>
      <c r="O21" t="e">
        <f>Table1567891014[[#This Row],[Column102]]/Table1567891014[[#This Row],[Column5]]*100</f>
        <v>#DIV/0!</v>
      </c>
      <c r="Q21">
        <v>98</v>
      </c>
      <c r="R21">
        <v>11</v>
      </c>
    </row>
    <row r="22" spans="4:18" x14ac:dyDescent="0.2">
      <c r="D22" t="s">
        <v>65</v>
      </c>
      <c r="E22">
        <v>2006</v>
      </c>
      <c r="F22">
        <v>1.9</v>
      </c>
      <c r="G22">
        <v>95</v>
      </c>
      <c r="H22" s="15">
        <f>Table1567891014[[#This Row],[Column102]]/Table1567891014[[#This Row],[Column2]]*0.1</f>
        <v>5</v>
      </c>
      <c r="I22" s="15">
        <f>Table1567891014[[#This Row],[Column102]]/Table1567891014[[#This Row],[Column2]]*0.1</f>
        <v>5</v>
      </c>
      <c r="J22">
        <v>10</v>
      </c>
      <c r="M22">
        <f>Table1567891014[[#This Row],[Column5]]/Table1567891014[[#This Row],[Column2]]*100</f>
        <v>0</v>
      </c>
      <c r="O22" t="e">
        <f>Table1567891014[[#This Row],[Column102]]/Table1567891014[[#This Row],[Column5]]*100</f>
        <v>#DIV/0!</v>
      </c>
      <c r="Q22">
        <v>95</v>
      </c>
      <c r="R22">
        <v>12</v>
      </c>
    </row>
    <row r="23" spans="4:18" x14ac:dyDescent="0.2">
      <c r="D23" t="s">
        <v>53</v>
      </c>
      <c r="E23">
        <v>2006</v>
      </c>
      <c r="F23">
        <v>0.65</v>
      </c>
      <c r="G23">
        <v>83</v>
      </c>
      <c r="H23" s="15">
        <f>Table1567891014[[#This Row],[Column102]]/Table1567891014[[#This Row],[Column2]]*0.1</f>
        <v>12.76923076923077</v>
      </c>
      <c r="I23" s="15">
        <f>Table1567891014[[#This Row],[Column102]]/Table1567891014[[#This Row],[Column2]]*0.1</f>
        <v>12.76923076923077</v>
      </c>
      <c r="J23">
        <v>7</v>
      </c>
      <c r="M23">
        <f>Table1567891014[[#This Row],[Column5]]/Table1567891014[[#This Row],[Column2]]*100</f>
        <v>0</v>
      </c>
      <c r="O23" t="e">
        <f>Table1567891014[[#This Row],[Column102]]/Table1567891014[[#This Row],[Column5]]*100</f>
        <v>#DIV/0!</v>
      </c>
      <c r="Q23">
        <v>83</v>
      </c>
      <c r="R23">
        <v>13</v>
      </c>
    </row>
    <row r="24" spans="4:18" x14ac:dyDescent="0.2">
      <c r="D24" t="s">
        <v>74</v>
      </c>
      <c r="E24">
        <v>2006</v>
      </c>
      <c r="F24">
        <v>0.41</v>
      </c>
      <c r="G24">
        <v>81</v>
      </c>
      <c r="H24" s="15">
        <f>Table1567891014[[#This Row],[Column102]]/Table1567891014[[#This Row],[Column2]]*0.1</f>
        <v>19.756097560975611</v>
      </c>
      <c r="I24" s="15">
        <f>Table1567891014[[#This Row],[Column102]]/Table1567891014[[#This Row],[Column2]]*0.1</f>
        <v>19.756097560975611</v>
      </c>
      <c r="J24">
        <v>6</v>
      </c>
      <c r="M24">
        <f>Table1567891014[[#This Row],[Column5]]/Table1567891014[[#This Row],[Column2]]*100</f>
        <v>0</v>
      </c>
      <c r="O24" t="e">
        <f>Table1567891014[[#This Row],[Column102]]/Table1567891014[[#This Row],[Column5]]*100</f>
        <v>#DIV/0!</v>
      </c>
      <c r="Q24">
        <v>81</v>
      </c>
      <c r="R24">
        <v>14</v>
      </c>
    </row>
    <row r="25" spans="4:18" x14ac:dyDescent="0.2">
      <c r="D25" t="s">
        <v>49</v>
      </c>
      <c r="E25">
        <v>2006</v>
      </c>
      <c r="F25">
        <v>1.8</v>
      </c>
      <c r="G25" s="14">
        <v>81</v>
      </c>
      <c r="H25" s="15">
        <f>Table1567891014[[#This Row],[Column102]]/Table1567891014[[#This Row],[Column2]]*0.1</f>
        <v>4.5</v>
      </c>
      <c r="I25" s="15">
        <f>Table1567891014[[#This Row],[Column102]]/Table1567891014[[#This Row],[Column2]]*0.1</f>
        <v>4.5</v>
      </c>
      <c r="J25">
        <v>11</v>
      </c>
      <c r="M25">
        <f>Table1567891014[[#This Row],[Column5]]/Table1567891014[[#This Row],[Column2]]*100</f>
        <v>0</v>
      </c>
      <c r="O25" t="e">
        <f>Table1567891014[[#This Row],[Column102]]/Table1567891014[[#This Row],[Column5]]*100</f>
        <v>#DIV/0!</v>
      </c>
      <c r="Q25" s="14">
        <v>81</v>
      </c>
      <c r="R25">
        <v>15</v>
      </c>
    </row>
    <row r="26" spans="4:18" x14ac:dyDescent="0.2">
      <c r="H26" s="15"/>
      <c r="I26" s="15"/>
      <c r="M26" s="16" t="e">
        <f>Table1567891014[[#This Row],[Column5]]/Table1567891014[[#This Row],[Column2]]*100</f>
        <v>#DIV/0!</v>
      </c>
      <c r="O26" s="16" t="e">
        <f>Table1567891014[[#This Row],[Column102]]/Table1567891014[[#This Row],[Column5]]*100</f>
        <v>#DIV/0!</v>
      </c>
    </row>
    <row r="27" spans="4:18" x14ac:dyDescent="0.2">
      <c r="H27" s="15"/>
      <c r="I27" s="15"/>
      <c r="M27" s="16" t="e">
        <f>Table1567891014[[#This Row],[Column5]]/Table1567891014[[#This Row],[Column2]]*100</f>
        <v>#DIV/0!</v>
      </c>
      <c r="O27" s="16" t="e">
        <f>Table1567891014[[#This Row],[Column102]]/Table1567891014[[#This Row],[Column5]]*100</f>
        <v>#DIV/0!</v>
      </c>
    </row>
    <row r="28" spans="4:18" x14ac:dyDescent="0.2">
      <c r="H28" s="15"/>
      <c r="I28" s="15"/>
      <c r="M28" s="16" t="e">
        <f>Table1567891014[[#This Row],[Column5]]/Table1567891014[[#This Row],[Column2]]*100</f>
        <v>#DIV/0!</v>
      </c>
      <c r="O28" s="16" t="e">
        <f>Table1567891014[[#This Row],[Column102]]/Table1567891014[[#This Row],[Column5]]*100</f>
        <v>#DIV/0!</v>
      </c>
    </row>
    <row r="29" spans="4:18" ht="34" x14ac:dyDescent="0.2">
      <c r="D29" s="1" t="s">
        <v>172</v>
      </c>
      <c r="H29" s="15">
        <v>23</v>
      </c>
      <c r="I29" s="15">
        <v>16</v>
      </c>
      <c r="M29" s="16" t="e">
        <f>Table1567891014[[#This Row],[Column5]]/Table1567891014[[#This Row],[Column2]]*100</f>
        <v>#DIV/0!</v>
      </c>
      <c r="O29" s="16" t="e">
        <f>Table1567891014[[#This Row],[Column102]]/Table1567891014[[#This Row],[Column5]]*100</f>
        <v>#DIV/0!</v>
      </c>
    </row>
    <row r="30" spans="4:18" ht="34" x14ac:dyDescent="0.2">
      <c r="D30" s="1" t="s">
        <v>164</v>
      </c>
      <c r="H30" s="15">
        <f>H12/H29*100</f>
        <v>299.45652173913044</v>
      </c>
      <c r="I30" s="15">
        <f>H12/I29*100</f>
        <v>430.46875</v>
      </c>
      <c r="M30" s="16" t="e">
        <f>Table1567891014[[#This Row],[Column5]]/Table1567891014[[#This Row],[Column2]]*100</f>
        <v>#DIV/0!</v>
      </c>
      <c r="O30" s="16" t="e">
        <f>Table1567891014[[#This Row],[Column102]]/Table1567891014[[#This Row],[Column5]]*100</f>
        <v>#DIV/0!</v>
      </c>
    </row>
    <row r="31" spans="4:18" x14ac:dyDescent="0.2">
      <c r="H31" s="15"/>
      <c r="I31" s="15"/>
      <c r="M31" s="16" t="e">
        <f>Table1567891014[[#This Row],[Column5]]/Table1567891014[[#This Row],[Column2]]*100</f>
        <v>#DIV/0!</v>
      </c>
      <c r="O31" s="16" t="e">
        <f>Table1567891014[[#This Row],[Column102]]/Table1567891014[[#This Row],[Column5]]*100</f>
        <v>#DIV/0!</v>
      </c>
    </row>
    <row r="32" spans="4:18" x14ac:dyDescent="0.2">
      <c r="H32" s="15"/>
      <c r="I32" s="15"/>
      <c r="M32" s="16" t="e">
        <f>Table1567891014[[#This Row],[Column5]]/Table1567891014[[#This Row],[Column2]]*100</f>
        <v>#DIV/0!</v>
      </c>
      <c r="O32" s="16" t="e">
        <f>Table1567891014[[#This Row],[Column102]]/Table1567891014[[#This Row],[Column5]]*100</f>
        <v>#DIV/0!</v>
      </c>
    </row>
    <row r="33" spans="5:18" x14ac:dyDescent="0.2">
      <c r="E33" s="17"/>
      <c r="F33" s="17"/>
      <c r="G33" s="17"/>
      <c r="H33" s="18"/>
      <c r="I33" s="18"/>
      <c r="J33" s="17"/>
      <c r="K33" s="17"/>
      <c r="L33" s="17"/>
      <c r="M33" s="19" t="e">
        <f>Table1567891014[[#This Row],[Column5]]/Table1567891014[[#This Row],[Column2]]*100</f>
        <v>#DIV/0!</v>
      </c>
      <c r="N33" s="17"/>
      <c r="O33" s="19" t="e">
        <f>Table1567891014[[#This Row],[Column102]]/Table1567891014[[#This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D9:R33"/>
  <sheetViews>
    <sheetView workbookViewId="0">
      <selection activeCell="G1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t="s">
        <v>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1" t="s">
        <v>23</v>
      </c>
      <c r="E11">
        <v>2009</v>
      </c>
      <c r="F11">
        <v>2.2999999999999998</v>
      </c>
      <c r="G11">
        <v>1449</v>
      </c>
      <c r="H11">
        <f>Table1567891013[[#This Row],[Column102]]/Table1567891013[[#This Row],[Column2]]*0.1</f>
        <v>63</v>
      </c>
      <c r="J11">
        <v>4</v>
      </c>
      <c r="M11">
        <f>Table1567891013[[#This Row],[Column5]]/Table1567891013[[#This Row],[Column2]]*100</f>
        <v>0</v>
      </c>
      <c r="O11" t="e">
        <f>Table1567891013[[#This Row],[Column102]]/Table1567891013[[#This Row],[Column5]]*100</f>
        <v>#DIV/0!</v>
      </c>
      <c r="Q11">
        <v>1449</v>
      </c>
      <c r="R11">
        <v>1</v>
      </c>
    </row>
    <row r="12" spans="4:18" x14ac:dyDescent="0.2">
      <c r="D12" t="s">
        <v>24</v>
      </c>
      <c r="E12">
        <v>2007</v>
      </c>
      <c r="F12">
        <v>0.4</v>
      </c>
      <c r="G12">
        <v>138</v>
      </c>
      <c r="H12" s="15">
        <f>Table1567891013[[#This Row],[Column102]]/Table1567891013[[#This Row],[Column2]]*0.1</f>
        <v>34.5</v>
      </c>
      <c r="I12" s="15">
        <f>Table1567891013[[#This Row],[Column102]]/Table1567891013[[#This Row],[Column2]]*0.1</f>
        <v>34.5</v>
      </c>
      <c r="J12">
        <v>7</v>
      </c>
      <c r="M12">
        <f>Table1567891013[[#This Row],[Column5]]/Table1567891013[[#This Row],[Column2]]*100</f>
        <v>0</v>
      </c>
      <c r="O12" t="e">
        <f>Table1567891013[[#This Row],[Column102]]/Table1567891013[[#This Row],[Column5]]*100</f>
        <v>#DIV/0!</v>
      </c>
      <c r="Q12">
        <v>138</v>
      </c>
      <c r="R12">
        <v>2</v>
      </c>
    </row>
    <row r="13" spans="4:18" x14ac:dyDescent="0.2">
      <c r="D13" t="s">
        <v>80</v>
      </c>
      <c r="E13">
        <v>2007</v>
      </c>
      <c r="F13">
        <v>34</v>
      </c>
      <c r="G13">
        <v>8661</v>
      </c>
      <c r="H13" s="15">
        <f>Table1567891013[[#This Row],[Column102]]/Table1567891013[[#This Row],[Column2]]*0.1</f>
        <v>25.473529411764709</v>
      </c>
      <c r="I13" s="15">
        <f>Table1567891013[[#This Row],[Column102]]/Table1567891013[[#This Row],[Column2]]*0.1</f>
        <v>25.473529411764709</v>
      </c>
      <c r="J13">
        <v>8</v>
      </c>
      <c r="M13">
        <f>Table1567891013[[#This Row],[Column5]]/Table1567891013[[#This Row],[Column2]]*100</f>
        <v>0</v>
      </c>
      <c r="O13" t="e">
        <f>Table1567891013[[#This Row],[Column102]]/Table1567891013[[#This Row],[Column5]]*100</f>
        <v>#DIV/0!</v>
      </c>
      <c r="Q13">
        <v>8661</v>
      </c>
      <c r="R13">
        <v>3</v>
      </c>
    </row>
    <row r="14" spans="4:18" x14ac:dyDescent="0.2">
      <c r="D14" t="s">
        <v>26</v>
      </c>
      <c r="E14">
        <v>2008</v>
      </c>
      <c r="F14">
        <v>0.3</v>
      </c>
      <c r="G14">
        <v>210</v>
      </c>
      <c r="H14" s="15">
        <f>Table1567891013[[#This Row],[Column102]]/Table1567891013[[#This Row],[Column2]]*0.1</f>
        <v>70</v>
      </c>
      <c r="I14" s="15">
        <f>Table1567891013[[#This Row],[Column102]]/Table1567891013[[#This Row],[Column2]]*0.1</f>
        <v>70</v>
      </c>
      <c r="J14">
        <v>2</v>
      </c>
      <c r="M14">
        <f>Table1567891013[[#This Row],[Column5]]/Table1567891013[[#This Row],[Column2]]*100</f>
        <v>0</v>
      </c>
      <c r="O14" t="e">
        <f>Table1567891013[[#This Row],[Column102]]/Table1567891013[[#This Row],[Column5]]*100</f>
        <v>#DIV/0!</v>
      </c>
      <c r="Q14">
        <v>210</v>
      </c>
      <c r="R14">
        <v>4</v>
      </c>
    </row>
    <row r="15" spans="4:18" x14ac:dyDescent="0.2">
      <c r="D15" t="s">
        <v>63</v>
      </c>
      <c r="E15">
        <v>2007</v>
      </c>
      <c r="F15">
        <v>7.9</v>
      </c>
      <c r="G15">
        <v>707</v>
      </c>
      <c r="H15" s="15">
        <f>Table1567891013[[#This Row],[Column102]]/Table1567891013[[#This Row],[Column2]]*0.1</f>
        <v>8.9493670886075947</v>
      </c>
      <c r="I15" s="15">
        <f>Table1567891013[[#This Row],[Column102]]/Table1567891013[[#This Row],[Column2]]*0.1</f>
        <v>8.9493670886075947</v>
      </c>
      <c r="J15">
        <v>13</v>
      </c>
      <c r="M15">
        <f>Table1567891013[[#This Row],[Column5]]/Table1567891013[[#This Row],[Column2]]*100</f>
        <v>0</v>
      </c>
      <c r="O15" t="e">
        <f>Table1567891013[[#This Row],[Column102]]/Table1567891013[[#This Row],[Column5]]*100</f>
        <v>#DIV/0!</v>
      </c>
      <c r="Q15">
        <v>707</v>
      </c>
      <c r="R15">
        <v>5</v>
      </c>
    </row>
    <row r="16" spans="4:18" x14ac:dyDescent="0.2">
      <c r="D16" t="s">
        <v>86</v>
      </c>
      <c r="F16" t="s">
        <v>120</v>
      </c>
      <c r="G16">
        <v>96</v>
      </c>
      <c r="H16" s="15"/>
      <c r="I16" s="15"/>
      <c r="J16" t="s">
        <v>120</v>
      </c>
      <c r="M16" t="e">
        <f>Table1567891013[[#This Row],[Column5]]/Table1567891013[[#This Row],[Column2]]*100</f>
        <v>#VALUE!</v>
      </c>
      <c r="O16" t="e">
        <f>Table1567891013[[#This Row],[Column102]]/Table1567891013[[#This Row],[Column5]]*100</f>
        <v>#DIV/0!</v>
      </c>
      <c r="Q16">
        <v>96</v>
      </c>
      <c r="R16">
        <v>6</v>
      </c>
    </row>
    <row r="17" spans="4:18" x14ac:dyDescent="0.2">
      <c r="D17" t="s">
        <v>33</v>
      </c>
      <c r="E17" t="s">
        <v>123</v>
      </c>
      <c r="F17">
        <v>0.4</v>
      </c>
      <c r="G17">
        <v>64</v>
      </c>
      <c r="H17" s="15">
        <f>Table1567891013[[#This Row],[Column102]]/Table1567891013[[#This Row],[Column2]]*0.1</f>
        <v>16</v>
      </c>
      <c r="I17" s="15">
        <f>Table1567891013[[#This Row],[Column102]]/Table1567891013[[#This Row],[Column2]]*0.1</f>
        <v>16</v>
      </c>
      <c r="J17">
        <v>9</v>
      </c>
      <c r="M17">
        <f>Table1567891013[[#This Row],[Column5]]/Table1567891013[[#This Row],[Column2]]*100</f>
        <v>0</v>
      </c>
      <c r="O17" t="e">
        <f>Table1567891013[[#This Row],[Column102]]/Table1567891013[[#This Row],[Column5]]*100</f>
        <v>#DIV/0!</v>
      </c>
      <c r="Q17">
        <v>64</v>
      </c>
      <c r="R17">
        <v>7</v>
      </c>
    </row>
    <row r="18" spans="4:18" x14ac:dyDescent="0.2">
      <c r="D18" t="s">
        <v>43</v>
      </c>
      <c r="E18">
        <v>2007</v>
      </c>
      <c r="F18">
        <v>1.2</v>
      </c>
      <c r="G18">
        <v>732</v>
      </c>
      <c r="H18" s="15">
        <f>Table1567891013[[#This Row],[Column102]]/Table1567891013[[#This Row],[Column2]]*0.1</f>
        <v>61</v>
      </c>
      <c r="I18" s="15">
        <f>Table1567891013[[#This Row],[Column102]]/Table1567891013[[#This Row],[Column2]]*0.1</f>
        <v>61</v>
      </c>
      <c r="J18">
        <v>5</v>
      </c>
      <c r="M18">
        <f>Table1567891013[[#This Row],[Column5]]/Table1567891013[[#This Row],[Column2]]*100</f>
        <v>0</v>
      </c>
      <c r="O18" t="e">
        <f>Table1567891013[[#This Row],[Column102]]/Table1567891013[[#This Row],[Column5]]*100</f>
        <v>#DIV/0!</v>
      </c>
      <c r="Q18">
        <v>732</v>
      </c>
      <c r="R18">
        <v>8</v>
      </c>
    </row>
    <row r="19" spans="4:18" x14ac:dyDescent="0.2">
      <c r="D19" t="s">
        <v>58</v>
      </c>
      <c r="E19">
        <v>2007</v>
      </c>
      <c r="F19">
        <v>5.8</v>
      </c>
      <c r="G19">
        <v>494</v>
      </c>
      <c r="H19" s="15">
        <f>Table1567891013[[#This Row],[Column102]]/Table1567891013[[#This Row],[Column2]]*0.1</f>
        <v>8.5172413793103452</v>
      </c>
      <c r="I19" s="15"/>
      <c r="J19">
        <v>14</v>
      </c>
      <c r="M19">
        <f>Table1567891013[[#This Row],[Column5]]/Table1567891013[[#This Row],[Column2]]*100</f>
        <v>0</v>
      </c>
      <c r="O19" t="e">
        <f>Table1567891013[[#This Row],[Column102]]/Table1567891013[[#This Row],[Column5]]*100</f>
        <v>#DIV/0!</v>
      </c>
      <c r="Q19">
        <v>494</v>
      </c>
      <c r="R19">
        <v>9</v>
      </c>
    </row>
    <row r="20" spans="4:18" x14ac:dyDescent="0.2">
      <c r="D20" t="s">
        <v>49</v>
      </c>
      <c r="E20">
        <v>2007</v>
      </c>
      <c r="F20">
        <v>2.5</v>
      </c>
      <c r="G20">
        <v>1260</v>
      </c>
      <c r="H20" s="15">
        <f>Table1567891013[[#This Row],[Column102]]/Table1567891013[[#This Row],[Column2]]*0.1</f>
        <v>50.400000000000006</v>
      </c>
      <c r="I20" s="15">
        <f>Table1567891013[[#This Row],[Column102]]/Table1567891013[[#This Row],[Column2]]*0.1</f>
        <v>50.400000000000006</v>
      </c>
      <c r="J20">
        <v>6</v>
      </c>
      <c r="M20">
        <f>Table1567891013[[#This Row],[Column5]]/Table1567891013[[#This Row],[Column2]]*100</f>
        <v>0</v>
      </c>
      <c r="O20" t="e">
        <f>Table1567891013[[#This Row],[Column102]]/Table1567891013[[#This Row],[Column5]]*100</f>
        <v>#DIV/0!</v>
      </c>
      <c r="Q20">
        <v>1260</v>
      </c>
      <c r="R20">
        <v>10</v>
      </c>
    </row>
    <row r="21" spans="4:18" x14ac:dyDescent="0.2">
      <c r="D21" t="s">
        <v>61</v>
      </c>
      <c r="E21" t="s">
        <v>124</v>
      </c>
      <c r="F21">
        <v>3</v>
      </c>
      <c r="G21">
        <v>321</v>
      </c>
      <c r="H21" s="15">
        <f>Table1567891013[[#This Row],[Column102]]/Table1567891013[[#This Row],[Column2]]*0.1</f>
        <v>10.700000000000001</v>
      </c>
      <c r="I21" s="15">
        <f>Table1567891013[[#This Row],[Column102]]/Table1567891013[[#This Row],[Column2]]*0.1</f>
        <v>10.700000000000001</v>
      </c>
      <c r="J21">
        <v>10</v>
      </c>
      <c r="M21">
        <f>Table1567891013[[#This Row],[Column5]]/Table1567891013[[#This Row],[Column2]]*100</f>
        <v>0</v>
      </c>
      <c r="O21" t="e">
        <f>Table1567891013[[#This Row],[Column102]]/Table1567891013[[#This Row],[Column5]]*100</f>
        <v>#DIV/0!</v>
      </c>
      <c r="Q21">
        <v>321</v>
      </c>
      <c r="R21">
        <v>11</v>
      </c>
    </row>
    <row r="22" spans="4:18" x14ac:dyDescent="0.2">
      <c r="D22" t="s">
        <v>87</v>
      </c>
      <c r="E22">
        <v>2007</v>
      </c>
      <c r="F22">
        <v>2.6</v>
      </c>
      <c r="G22">
        <v>1684</v>
      </c>
      <c r="H22" s="15">
        <f>Table1567891013[[#This Row],[Column102]]/Table1567891013[[#This Row],[Column2]]*0.1</f>
        <v>64.769230769230759</v>
      </c>
      <c r="I22" s="15">
        <f>Table1567891013[[#This Row],[Column102]]/Table1567891013[[#This Row],[Column2]]*0.1</f>
        <v>64.769230769230759</v>
      </c>
      <c r="J22">
        <v>3</v>
      </c>
      <c r="M22">
        <f>Table1567891013[[#This Row],[Column5]]/Table1567891013[[#This Row],[Column2]]*100</f>
        <v>0</v>
      </c>
      <c r="O22" t="e">
        <f>Table1567891013[[#This Row],[Column102]]/Table1567891013[[#This Row],[Column5]]*100</f>
        <v>#DIV/0!</v>
      </c>
      <c r="Q22">
        <v>1684</v>
      </c>
      <c r="R22">
        <v>12</v>
      </c>
    </row>
    <row r="23" spans="4:18" x14ac:dyDescent="0.2">
      <c r="D23" t="s">
        <v>37</v>
      </c>
      <c r="E23">
        <v>2007</v>
      </c>
      <c r="F23">
        <v>5.5</v>
      </c>
      <c r="G23">
        <v>579</v>
      </c>
      <c r="H23" s="15">
        <f>Table1567891013[[#This Row],[Column102]]/Table1567891013[[#This Row],[Column2]]*0.1</f>
        <v>10.527272727272727</v>
      </c>
      <c r="I23" s="15">
        <f>Table1567891013[[#This Row],[Column102]]/Table1567891013[[#This Row],[Column2]]*0.1</f>
        <v>10.527272727272727</v>
      </c>
      <c r="J23">
        <v>11</v>
      </c>
      <c r="M23">
        <f>Table1567891013[[#This Row],[Column5]]/Table1567891013[[#This Row],[Column2]]*100</f>
        <v>0</v>
      </c>
      <c r="O23" t="e">
        <f>Table1567891013[[#This Row],[Column102]]/Table1567891013[[#This Row],[Column5]]*100</f>
        <v>#DIV/0!</v>
      </c>
      <c r="Q23">
        <v>579</v>
      </c>
      <c r="R23">
        <v>13</v>
      </c>
    </row>
    <row r="24" spans="4:18" x14ac:dyDescent="0.2">
      <c r="D24" t="s">
        <v>88</v>
      </c>
      <c r="E24">
        <v>2007</v>
      </c>
      <c r="F24">
        <v>2.2000000000000002</v>
      </c>
      <c r="G24">
        <v>200</v>
      </c>
      <c r="H24" s="15">
        <f>Table1567891013[[#This Row],[Column102]]/Table1567891013[[#This Row],[Column2]]*0.1</f>
        <v>9.0909090909090917</v>
      </c>
      <c r="I24" s="15">
        <f>Table1567891013[[#This Row],[Column102]]/Table1567891013[[#This Row],[Column2]]*0.1</f>
        <v>9.0909090909090917</v>
      </c>
      <c r="J24">
        <v>12</v>
      </c>
      <c r="M24">
        <f>Table1567891013[[#This Row],[Column5]]/Table1567891013[[#This Row],[Column2]]*100</f>
        <v>0</v>
      </c>
      <c r="O24" t="e">
        <f>Table1567891013[[#This Row],[Column102]]/Table1567891013[[#This Row],[Column5]]*100</f>
        <v>#DIV/0!</v>
      </c>
      <c r="Q24">
        <v>200</v>
      </c>
      <c r="R24">
        <v>14</v>
      </c>
    </row>
    <row r="25" spans="4:18" x14ac:dyDescent="0.2">
      <c r="D25" t="s">
        <v>31</v>
      </c>
      <c r="E25" t="s">
        <v>124</v>
      </c>
      <c r="F25">
        <v>2.6</v>
      </c>
      <c r="G25">
        <v>3000</v>
      </c>
      <c r="H25" s="15">
        <f>Table1567891013[[#This Row],[Column102]]/Table1567891013[[#This Row],[Column2]]*0.1</f>
        <v>115.38461538461539</v>
      </c>
      <c r="I25" s="15"/>
      <c r="J25">
        <v>1</v>
      </c>
      <c r="M25">
        <f>Table1567891013[[#This Row],[Column5]]/Table1567891013[[#This Row],[Column2]]*100</f>
        <v>0</v>
      </c>
      <c r="O25" t="e">
        <f>Table1567891013[[#This Row],[Column102]]/Table1567891013[[#This Row],[Column5]]*100</f>
        <v>#DIV/0!</v>
      </c>
      <c r="Q25">
        <v>3000</v>
      </c>
      <c r="R25">
        <v>15</v>
      </c>
    </row>
    <row r="26" spans="4:18" x14ac:dyDescent="0.2">
      <c r="H26" s="15"/>
      <c r="I26" s="15"/>
      <c r="M26" s="16" t="e">
        <f>Table1567891013[[#This Row],[Column5]]/Table1567891013[[#This Row],[Column2]]*100</f>
        <v>#DIV/0!</v>
      </c>
      <c r="O26" s="16" t="e">
        <f>Table1567891013[[#This Row],[Column102]]/Table1567891013[[#This Row],[Column5]]*100</f>
        <v>#DIV/0!</v>
      </c>
    </row>
    <row r="27" spans="4:18" x14ac:dyDescent="0.2">
      <c r="H27" s="16"/>
      <c r="I27" s="16"/>
      <c r="M27" s="16" t="e">
        <f>Table1567891013[[#This Row],[Column5]]/Table1567891013[[#This Row],[Column2]]*100</f>
        <v>#DIV/0!</v>
      </c>
      <c r="O27" s="16" t="e">
        <f>Table1567891013[[#This Row],[Column102]]/Table1567891013[[#This Row],[Column5]]*100</f>
        <v>#DIV/0!</v>
      </c>
    </row>
    <row r="28" spans="4:18" x14ac:dyDescent="0.2">
      <c r="H28" s="16"/>
      <c r="I28" s="16"/>
      <c r="M28" s="16" t="e">
        <f>Table1567891013[[#This Row],[Column5]]/Table1567891013[[#This Row],[Column2]]*100</f>
        <v>#DIV/0!</v>
      </c>
      <c r="O28" s="16" t="e">
        <f>Table1567891013[[#This Row],[Column102]]/Table1567891013[[#This Row],[Column5]]*100</f>
        <v>#DIV/0!</v>
      </c>
    </row>
    <row r="29" spans="4:18" ht="34" x14ac:dyDescent="0.2">
      <c r="D29" s="1" t="s">
        <v>172</v>
      </c>
      <c r="H29" s="16">
        <v>37</v>
      </c>
      <c r="I29" s="16">
        <v>33</v>
      </c>
      <c r="M29" s="16" t="e">
        <f>Table1567891013[[#This Row],[Column5]]/Table1567891013[[#This Row],[Column2]]*100</f>
        <v>#DIV/0!</v>
      </c>
      <c r="O29" s="16" t="e">
        <f>Table1567891013[[#This Row],[Column102]]/Table1567891013[[#This Row],[Column5]]*100</f>
        <v>#DIV/0!</v>
      </c>
    </row>
    <row r="30" spans="4:18" ht="34" x14ac:dyDescent="0.2">
      <c r="D30" s="1" t="s">
        <v>163</v>
      </c>
      <c r="H30" s="15">
        <f>H11/H29*100</f>
        <v>170.27027027027026</v>
      </c>
      <c r="I30" s="15">
        <f>H11/I29*100</f>
        <v>190.90909090909091</v>
      </c>
      <c r="M30" s="16" t="e">
        <f>Table1567891013[[#This Row],[Column5]]/Table1567891013[[#This Row],[Column2]]*100</f>
        <v>#DIV/0!</v>
      </c>
      <c r="O30" s="16" t="e">
        <f>Table1567891013[[#This Row],[Column102]]/Table1567891013[[#This Row],[Column5]]*100</f>
        <v>#DIV/0!</v>
      </c>
    </row>
    <row r="31" spans="4:18" x14ac:dyDescent="0.2">
      <c r="H31" s="16"/>
      <c r="I31" s="16"/>
      <c r="M31" s="16" t="e">
        <f>Table1567891013[[#This Row],[Column5]]/Table1567891013[[#This Row],[Column2]]*100</f>
        <v>#DIV/0!</v>
      </c>
      <c r="O31" s="16" t="e">
        <f>Table1567891013[[#This Row],[Column102]]/Table1567891013[[#This Row],[Column5]]*100</f>
        <v>#DIV/0!</v>
      </c>
    </row>
    <row r="32" spans="4:18" x14ac:dyDescent="0.2">
      <c r="H32" s="16"/>
      <c r="I32" s="16"/>
      <c r="M32" s="16" t="e">
        <f>Table1567891013[[#This Row],[Column5]]/Table1567891013[[#This Row],[Column2]]*100</f>
        <v>#DIV/0!</v>
      </c>
      <c r="O32" s="16" t="e">
        <f>Table1567891013[[#This Row],[Column102]]/Table1567891013[[#This Row],[Column5]]*100</f>
        <v>#DIV/0!</v>
      </c>
    </row>
    <row r="33" spans="5:18" x14ac:dyDescent="0.2">
      <c r="E33" s="17"/>
      <c r="F33" s="17"/>
      <c r="G33" s="17"/>
      <c r="H33" s="19"/>
      <c r="I33" s="19"/>
      <c r="J33" s="17"/>
      <c r="K33" s="17"/>
      <c r="L33" s="17"/>
      <c r="M33" s="19" t="e">
        <f>Table1567891013[[#This Row],[Column5]]/Table1567891013[[#This Row],[Column2]]*100</f>
        <v>#DIV/0!</v>
      </c>
      <c r="N33" s="17"/>
      <c r="O33" s="19" t="e">
        <f>Table1567891013[[#This Row],[Column102]]/Table1567891013[[#This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D8:R33"/>
  <sheetViews>
    <sheetView workbookViewId="0">
      <selection activeCell="G1" sqref="G1:G1048576"/>
    </sheetView>
  </sheetViews>
  <sheetFormatPr baseColWidth="10" defaultRowHeight="16" x14ac:dyDescent="0.2"/>
  <cols>
    <col min="5" max="6" width="11" customWidth="1"/>
    <col min="7" max="7" width="12" customWidth="1"/>
    <col min="8" max="16" width="11" customWidth="1"/>
    <col min="17" max="17" width="12" customWidth="1"/>
  </cols>
  <sheetData>
    <row r="8" spans="4:18" ht="68" x14ac:dyDescent="0.2">
      <c r="E8" s="1" t="s">
        <v>10</v>
      </c>
      <c r="F8" s="1" t="s">
        <v>111</v>
      </c>
      <c r="G8" s="1" t="s">
        <v>109</v>
      </c>
      <c r="H8" s="1" t="s">
        <v>12</v>
      </c>
      <c r="I8" s="1" t="s">
        <v>166</v>
      </c>
      <c r="J8" s="1" t="s">
        <v>13</v>
      </c>
      <c r="K8" s="1" t="s">
        <v>14</v>
      </c>
      <c r="L8" s="1" t="s">
        <v>10</v>
      </c>
      <c r="M8" s="1" t="s">
        <v>15</v>
      </c>
      <c r="N8" s="1" t="s">
        <v>16</v>
      </c>
      <c r="O8" s="1" t="s">
        <v>17</v>
      </c>
      <c r="P8" s="1" t="s">
        <v>18</v>
      </c>
      <c r="Q8" s="1" t="s">
        <v>109</v>
      </c>
      <c r="R8" s="1" t="s">
        <v>21</v>
      </c>
    </row>
    <row r="9" spans="4:18" x14ac:dyDescent="0.2">
      <c r="E9" t="s">
        <v>0</v>
      </c>
      <c r="F9" t="s">
        <v>1</v>
      </c>
      <c r="G9" t="s">
        <v>9</v>
      </c>
      <c r="H9" t="s">
        <v>2</v>
      </c>
      <c r="I9" t="s">
        <v>165</v>
      </c>
      <c r="J9" t="s">
        <v>3</v>
      </c>
      <c r="K9" t="s">
        <v>4</v>
      </c>
      <c r="L9" t="s">
        <v>22</v>
      </c>
      <c r="M9" t="s">
        <v>5</v>
      </c>
      <c r="N9" t="s">
        <v>6</v>
      </c>
      <c r="O9" t="s">
        <v>7</v>
      </c>
      <c r="P9" t="s">
        <v>8</v>
      </c>
      <c r="Q9" t="s">
        <v>177</v>
      </c>
      <c r="R9" t="s">
        <v>20</v>
      </c>
    </row>
    <row r="10" spans="4:18" ht="34" x14ac:dyDescent="0.2">
      <c r="D10" s="9" t="s">
        <v>89</v>
      </c>
      <c r="E10" t="s">
        <v>118</v>
      </c>
      <c r="F10">
        <v>2.2999999999999998</v>
      </c>
      <c r="G10">
        <v>1868</v>
      </c>
      <c r="H10" s="15">
        <f>Table13[[#This Row],[Column102]]/Table13[[#This Row],[Column2]]*0.1</f>
        <v>81.217391304347842</v>
      </c>
      <c r="I10" s="15"/>
      <c r="J10">
        <v>3</v>
      </c>
      <c r="M10">
        <f>Table13[[#This Row],[Column5]]/Table13[[#This Row],[Column2]]*100</f>
        <v>0</v>
      </c>
      <c r="O10" t="e">
        <f>Table13[[#This Row],[Column102]]/Table13[[#This Row],[Column5]]*100</f>
        <v>#DIV/0!</v>
      </c>
      <c r="Q10">
        <v>1868</v>
      </c>
      <c r="R10">
        <v>1</v>
      </c>
    </row>
    <row r="11" spans="4:18" x14ac:dyDescent="0.2">
      <c r="D11" s="7" t="s">
        <v>24</v>
      </c>
      <c r="E11">
        <v>2008</v>
      </c>
      <c r="F11">
        <v>0.45</v>
      </c>
      <c r="G11">
        <v>154</v>
      </c>
      <c r="H11" s="15">
        <f>Table13[[#This Row],[Column102]]/Table13[[#This Row],[Column2]]*0.1</f>
        <v>34.222222222222221</v>
      </c>
      <c r="I11" s="15">
        <f>Table13[[#This Row],[Column102]]/Table13[[#This Row],[Column2]]*0.1</f>
        <v>34.222222222222221</v>
      </c>
      <c r="J11">
        <v>8</v>
      </c>
      <c r="M11">
        <f>Table13[[#This Row],[Column5]]/Table13[[#This Row],[Column2]]*100</f>
        <v>0</v>
      </c>
      <c r="O11" t="e">
        <f>Table13[[#This Row],[Column102]]/Table13[[#This Row],[Column5]]*100</f>
        <v>#DIV/0!</v>
      </c>
      <c r="Q11">
        <v>154</v>
      </c>
      <c r="R11">
        <v>2</v>
      </c>
    </row>
    <row r="12" spans="4:18" x14ac:dyDescent="0.2">
      <c r="D12" s="4" t="s">
        <v>33</v>
      </c>
      <c r="E12" t="s">
        <v>121</v>
      </c>
      <c r="F12">
        <v>0.4</v>
      </c>
      <c r="G12">
        <v>160</v>
      </c>
      <c r="H12" s="15">
        <f>Table13[[#This Row],[Column102]]/Table13[[#This Row],[Column2]]*0.1</f>
        <v>40</v>
      </c>
      <c r="I12" s="15">
        <f>Table13[[#This Row],[Column102]]/Table13[[#This Row],[Column2]]*0.1</f>
        <v>40</v>
      </c>
      <c r="J12">
        <v>7</v>
      </c>
      <c r="M12">
        <f>Table13[[#This Row],[Column5]]/Table13[[#This Row],[Column2]]*100</f>
        <v>0</v>
      </c>
      <c r="O12" t="e">
        <f>Table13[[#This Row],[Column102]]/Table13[[#This Row],[Column5]]*100</f>
        <v>#DIV/0!</v>
      </c>
      <c r="Q12">
        <v>160</v>
      </c>
      <c r="R12">
        <v>3</v>
      </c>
    </row>
    <row r="13" spans="4:18" x14ac:dyDescent="0.2">
      <c r="D13" s="7" t="s">
        <v>80</v>
      </c>
      <c r="E13" t="s">
        <v>122</v>
      </c>
      <c r="F13">
        <v>50</v>
      </c>
      <c r="G13">
        <v>9115</v>
      </c>
      <c r="H13" s="15">
        <f>Table13[[#This Row],[Column102]]/Table13[[#This Row],[Column2]]*0.1</f>
        <v>18.23</v>
      </c>
      <c r="I13" s="15">
        <f>Table13[[#This Row],[Column102]]/Table13[[#This Row],[Column2]]*0.1</f>
        <v>18.23</v>
      </c>
      <c r="J13">
        <v>10</v>
      </c>
      <c r="M13">
        <f>Table13[[#This Row],[Column5]]/Table13[[#This Row],[Column2]]*100</f>
        <v>0</v>
      </c>
      <c r="O13" t="e">
        <f>Table13[[#This Row],[Column102]]/Table13[[#This Row],[Column5]]*100</f>
        <v>#DIV/0!</v>
      </c>
      <c r="Q13">
        <v>9115</v>
      </c>
      <c r="R13">
        <v>4</v>
      </c>
    </row>
    <row r="14" spans="4:18" x14ac:dyDescent="0.2">
      <c r="D14" s="4" t="s">
        <v>63</v>
      </c>
      <c r="E14">
        <v>2008</v>
      </c>
      <c r="F14">
        <v>8.3000000000000007</v>
      </c>
      <c r="G14">
        <v>939</v>
      </c>
      <c r="H14" s="15">
        <f>Table13[[#This Row],[Column102]]/Table13[[#This Row],[Column2]]*0.1</f>
        <v>11.313253012048193</v>
      </c>
      <c r="I14" s="15">
        <f>Table13[[#This Row],[Column102]]/Table13[[#This Row],[Column2]]*0.1</f>
        <v>11.313253012048193</v>
      </c>
      <c r="J14">
        <v>11</v>
      </c>
      <c r="M14">
        <f>Table13[[#This Row],[Column5]]/Table13[[#This Row],[Column2]]*100</f>
        <v>0</v>
      </c>
      <c r="O14" t="e">
        <f>Table13[[#This Row],[Column102]]/Table13[[#This Row],[Column5]]*100</f>
        <v>#DIV/0!</v>
      </c>
      <c r="Q14">
        <v>939</v>
      </c>
      <c r="R14">
        <v>5</v>
      </c>
    </row>
    <row r="15" spans="4:18" x14ac:dyDescent="0.2">
      <c r="D15" s="7" t="s">
        <v>26</v>
      </c>
      <c r="E15">
        <v>2008</v>
      </c>
      <c r="F15">
        <v>0.3</v>
      </c>
      <c r="G15">
        <v>278</v>
      </c>
      <c r="H15" s="15">
        <f>Table13[[#This Row],[Column102]]/Table13[[#This Row],[Column2]]*0.1</f>
        <v>92.666666666666686</v>
      </c>
      <c r="I15" s="15">
        <f>Table13[[#This Row],[Column102]]/Table13[[#This Row],[Column2]]*0.1</f>
        <v>92.666666666666686</v>
      </c>
      <c r="J15">
        <v>2</v>
      </c>
      <c r="M15">
        <f>Table13[[#This Row],[Column5]]/Table13[[#This Row],[Column2]]*100</f>
        <v>0</v>
      </c>
      <c r="O15" t="e">
        <f>Table13[[#This Row],[Column102]]/Table13[[#This Row],[Column5]]*100</f>
        <v>#DIV/0!</v>
      </c>
      <c r="Q15">
        <v>278</v>
      </c>
      <c r="R15">
        <v>6</v>
      </c>
    </row>
    <row r="16" spans="4:18" x14ac:dyDescent="0.2">
      <c r="D16" s="4" t="s">
        <v>32</v>
      </c>
      <c r="F16" t="s">
        <v>120</v>
      </c>
      <c r="G16">
        <v>696</v>
      </c>
      <c r="H16" s="15"/>
      <c r="I16" s="15"/>
      <c r="M16" t="e">
        <f>Table13[[#This Row],[Column5]]/Table13[[#This Row],[Column2]]*100</f>
        <v>#VALUE!</v>
      </c>
      <c r="O16" t="e">
        <f>Table13[[#This Row],[Column102]]/Table13[[#This Row],[Column5]]*100</f>
        <v>#DIV/0!</v>
      </c>
      <c r="Q16">
        <v>696</v>
      </c>
      <c r="R16">
        <v>7</v>
      </c>
    </row>
    <row r="17" spans="4:18" x14ac:dyDescent="0.2">
      <c r="D17" s="7" t="s">
        <v>86</v>
      </c>
      <c r="F17" t="s">
        <v>120</v>
      </c>
      <c r="G17">
        <v>108</v>
      </c>
      <c r="H17" s="15"/>
      <c r="I17" s="15"/>
      <c r="M17" t="e">
        <f>Table13[[#This Row],[Column5]]/Table13[[#This Row],[Column2]]*100</f>
        <v>#VALUE!</v>
      </c>
      <c r="O17" t="e">
        <f>Table13[[#This Row],[Column102]]/Table13[[#This Row],[Column5]]*100</f>
        <v>#DIV/0!</v>
      </c>
      <c r="Q17">
        <v>108</v>
      </c>
      <c r="R17">
        <v>8</v>
      </c>
    </row>
    <row r="18" spans="4:18" x14ac:dyDescent="0.2">
      <c r="D18" s="4" t="s">
        <v>43</v>
      </c>
      <c r="E18">
        <v>2008</v>
      </c>
      <c r="F18">
        <v>1.3</v>
      </c>
      <c r="G18">
        <v>834</v>
      </c>
      <c r="H18" s="15">
        <f>Table13[[#This Row],[Column102]]/Table13[[#This Row],[Column2]]*0.1</f>
        <v>64.15384615384616</v>
      </c>
      <c r="I18" s="15">
        <f>Table13[[#This Row],[Column102]]/Table13[[#This Row],[Column2]]*0.1</f>
        <v>64.15384615384616</v>
      </c>
      <c r="J18">
        <v>4</v>
      </c>
      <c r="M18">
        <f>Table13[[#This Row],[Column5]]/Table13[[#This Row],[Column2]]*100</f>
        <v>0</v>
      </c>
      <c r="O18" t="e">
        <f>Table13[[#This Row],[Column102]]/Table13[[#This Row],[Column5]]*100</f>
        <v>#DIV/0!</v>
      </c>
      <c r="Q18">
        <v>834</v>
      </c>
      <c r="R18">
        <v>9</v>
      </c>
    </row>
    <row r="19" spans="4:18" x14ac:dyDescent="0.2">
      <c r="D19" s="7" t="s">
        <v>31</v>
      </c>
      <c r="E19">
        <v>2008</v>
      </c>
      <c r="F19">
        <v>2.6</v>
      </c>
      <c r="G19">
        <v>3951</v>
      </c>
      <c r="H19" s="15">
        <f>Table13[[#This Row],[Column102]]/Table13[[#This Row],[Column2]]*0.1</f>
        <v>151.96153846153845</v>
      </c>
      <c r="I19" s="15"/>
      <c r="J19">
        <v>1</v>
      </c>
      <c r="M19">
        <f>Table13[[#This Row],[Column5]]/Table13[[#This Row],[Column2]]*100</f>
        <v>0</v>
      </c>
      <c r="O19" t="e">
        <f>Table13[[#This Row],[Column102]]/Table13[[#This Row],[Column5]]*100</f>
        <v>#DIV/0!</v>
      </c>
      <c r="Q19">
        <v>3951</v>
      </c>
      <c r="R19">
        <v>10</v>
      </c>
    </row>
    <row r="20" spans="4:18" x14ac:dyDescent="0.2">
      <c r="D20" s="4" t="s">
        <v>90</v>
      </c>
      <c r="E20">
        <v>2008</v>
      </c>
      <c r="F20">
        <v>1.7</v>
      </c>
      <c r="G20">
        <v>352</v>
      </c>
      <c r="H20" s="15">
        <f>Table13[[#This Row],[Column102]]/Table13[[#This Row],[Column2]]*0.1</f>
        <v>20.705882352941178</v>
      </c>
      <c r="I20" s="15">
        <f>Table13[[#This Row],[Column102]]/Table13[[#This Row],[Column2]]*0.1</f>
        <v>20.705882352941178</v>
      </c>
      <c r="J20">
        <v>9</v>
      </c>
      <c r="M20">
        <f>Table13[[#This Row],[Column5]]/Table13[[#This Row],[Column2]]*100</f>
        <v>0</v>
      </c>
      <c r="O20" t="e">
        <f>Table13[[#This Row],[Column102]]/Table13[[#This Row],[Column5]]*100</f>
        <v>#DIV/0!</v>
      </c>
      <c r="Q20">
        <v>352</v>
      </c>
      <c r="R20">
        <v>11</v>
      </c>
    </row>
    <row r="21" spans="4:18" x14ac:dyDescent="0.2">
      <c r="D21" s="7" t="s">
        <v>91</v>
      </c>
      <c r="E21">
        <v>2008</v>
      </c>
      <c r="F21">
        <v>3.3</v>
      </c>
      <c r="G21">
        <v>1933</v>
      </c>
      <c r="H21" s="15">
        <f>Table13[[#This Row],[Column102]]/Table13[[#This Row],[Column2]]*0.1</f>
        <v>58.575757575757578</v>
      </c>
      <c r="I21" s="15">
        <f>Table13[[#This Row],[Column102]]/Table13[[#This Row],[Column2]]*0.1</f>
        <v>58.575757575757578</v>
      </c>
      <c r="J21">
        <v>5</v>
      </c>
      <c r="M21">
        <f>Table13[[#This Row],[Column5]]/Table13[[#This Row],[Column2]]*100</f>
        <v>0</v>
      </c>
      <c r="O21" t="e">
        <f>Table13[[#This Row],[Column102]]/Table13[[#This Row],[Column5]]*100</f>
        <v>#DIV/0!</v>
      </c>
      <c r="Q21">
        <v>1933</v>
      </c>
      <c r="R21">
        <v>12</v>
      </c>
    </row>
    <row r="22" spans="4:18" x14ac:dyDescent="0.2">
      <c r="D22" s="4" t="s">
        <v>44</v>
      </c>
      <c r="E22">
        <v>2009</v>
      </c>
      <c r="F22">
        <v>0.8</v>
      </c>
      <c r="G22">
        <v>364</v>
      </c>
      <c r="H22" s="15">
        <f>Table13[[#This Row],[Column102]]/Table13[[#This Row],[Column2]]*0.1</f>
        <v>45.5</v>
      </c>
      <c r="I22" s="15">
        <f>Table13[[#This Row],[Column102]]/Table13[[#This Row],[Column2]]*0.1</f>
        <v>45.5</v>
      </c>
      <c r="J22">
        <v>6</v>
      </c>
      <c r="M22">
        <f>Table13[[#This Row],[Column5]]/Table13[[#This Row],[Column2]]*100</f>
        <v>0</v>
      </c>
      <c r="O22" t="e">
        <f>Table13[[#This Row],[Column102]]/Table13[[#This Row],[Column5]]*100</f>
        <v>#DIV/0!</v>
      </c>
      <c r="Q22">
        <v>364</v>
      </c>
      <c r="R22">
        <v>13</v>
      </c>
    </row>
    <row r="23" spans="4:18" x14ac:dyDescent="0.2">
      <c r="D23" s="7" t="s">
        <v>58</v>
      </c>
      <c r="E23">
        <v>2008</v>
      </c>
      <c r="F23">
        <v>7.1</v>
      </c>
      <c r="G23">
        <v>443</v>
      </c>
      <c r="H23" s="15">
        <f>Table13[[#This Row],[Column102]]/Table13[[#This Row],[Column2]]*0.1</f>
        <v>6.2394366197183109</v>
      </c>
      <c r="I23" s="15"/>
      <c r="J23">
        <v>13</v>
      </c>
      <c r="M23">
        <f>Table13[[#This Row],[Column5]]/Table13[[#This Row],[Column2]]*100</f>
        <v>0</v>
      </c>
      <c r="O23" t="e">
        <f>Table13[[#This Row],[Column102]]/Table13[[#This Row],[Column5]]*100</f>
        <v>#DIV/0!</v>
      </c>
      <c r="Q23">
        <v>443</v>
      </c>
      <c r="R23">
        <v>14</v>
      </c>
    </row>
    <row r="24" spans="4:18" x14ac:dyDescent="0.2">
      <c r="D24" s="4" t="s">
        <v>64</v>
      </c>
      <c r="E24">
        <v>2008</v>
      </c>
      <c r="F24">
        <v>2.5</v>
      </c>
      <c r="G24">
        <v>213</v>
      </c>
      <c r="H24" s="15">
        <f>Table13[[#This Row],[Column102]]/Table13[[#This Row],[Column2]]*0.1</f>
        <v>8.5200000000000014</v>
      </c>
      <c r="I24" s="15">
        <f>Table13[[#This Row],[Column102]]/Table13[[#This Row],[Column2]]*0.1</f>
        <v>8.5200000000000014</v>
      </c>
      <c r="J24">
        <v>12</v>
      </c>
      <c r="M24">
        <f>Table13[[#This Row],[Column5]]/Table13[[#This Row],[Column2]]*100</f>
        <v>0</v>
      </c>
      <c r="O24" t="e">
        <f>Table13[[#This Row],[Column102]]/Table13[[#This Row],[Column5]]*100</f>
        <v>#DIV/0!</v>
      </c>
      <c r="Q24">
        <v>213</v>
      </c>
      <c r="R24">
        <v>15</v>
      </c>
    </row>
    <row r="25" spans="4:18" x14ac:dyDescent="0.2">
      <c r="D25" s="7"/>
      <c r="H25" s="15"/>
      <c r="I25" s="15"/>
      <c r="M25" s="16" t="e">
        <f>Table13[[#This Row],[Column5]]/Table13[[#This Row],[Column2]]*100</f>
        <v>#DIV/0!</v>
      </c>
      <c r="O25" s="16" t="e">
        <f>Table13[[#This Row],[Column102]]/Table13[[#This Row],[Column5]]*100</f>
        <v>#DIV/0!</v>
      </c>
    </row>
    <row r="26" spans="4:18" x14ac:dyDescent="0.2">
      <c r="H26" s="16"/>
      <c r="I26" s="16"/>
      <c r="M26" s="16" t="e">
        <f>Table13[[#This Row],[Column5]]/Table13[[#This Row],[Column2]]*100</f>
        <v>#DIV/0!</v>
      </c>
      <c r="O26" s="16" t="e">
        <f>Table13[[#This Row],[Column102]]/Table13[[#This Row],[Column5]]*100</f>
        <v>#DIV/0!</v>
      </c>
    </row>
    <row r="27" spans="4:18" x14ac:dyDescent="0.2">
      <c r="H27" s="16"/>
      <c r="I27" s="16"/>
      <c r="M27" s="16" t="e">
        <f>Table13[[#This Row],[Column5]]/Table13[[#This Row],[Column2]]*100</f>
        <v>#DIV/0!</v>
      </c>
      <c r="O27" s="16" t="e">
        <f>Table13[[#This Row],[Column102]]/Table13[[#This Row],[Column5]]*100</f>
        <v>#DIV/0!</v>
      </c>
    </row>
    <row r="28" spans="4:18" ht="34" x14ac:dyDescent="0.2">
      <c r="D28" s="1" t="s">
        <v>172</v>
      </c>
      <c r="H28" s="16">
        <v>46</v>
      </c>
      <c r="I28" s="16">
        <v>39</v>
      </c>
      <c r="M28" s="16" t="e">
        <f>Table13[[#This Row],[Column5]]/Table13[[#This Row],[Column2]]*100</f>
        <v>#DIV/0!</v>
      </c>
      <c r="O28" s="16" t="e">
        <f>Table13[[#This Row],[Column102]]/Table13[[#This Row],[Column5]]*100</f>
        <v>#DIV/0!</v>
      </c>
    </row>
    <row r="29" spans="4:18" ht="34" x14ac:dyDescent="0.2">
      <c r="D29" s="1" t="s">
        <v>162</v>
      </c>
      <c r="H29" s="15">
        <f>H10/H28*100</f>
        <v>176.55954631379967</v>
      </c>
      <c r="I29" s="15">
        <f>H10/I28*100</f>
        <v>208.2497212931996</v>
      </c>
      <c r="M29" s="16" t="e">
        <f>Table13[[#This Row],[Column5]]/Table13[[#This Row],[Column2]]*100</f>
        <v>#DIV/0!</v>
      </c>
      <c r="O29" s="16" t="e">
        <f>Table13[[#This Row],[Column102]]/Table13[[#This Row],[Column5]]*100</f>
        <v>#DIV/0!</v>
      </c>
    </row>
    <row r="30" spans="4:18" x14ac:dyDescent="0.2">
      <c r="H30" s="16"/>
      <c r="I30" s="16"/>
      <c r="M30" s="16" t="e">
        <f>Table13[[#This Row],[Column5]]/Table13[[#This Row],[Column2]]*100</f>
        <v>#DIV/0!</v>
      </c>
      <c r="O30" s="16" t="e">
        <f>Table13[[#This Row],[Column102]]/Table13[[#This Row],[Column5]]*100</f>
        <v>#DIV/0!</v>
      </c>
    </row>
    <row r="31" spans="4:18" x14ac:dyDescent="0.2">
      <c r="H31" s="16"/>
      <c r="I31" s="16"/>
      <c r="M31" s="16" t="e">
        <f>Table13[[#This Row],[Column5]]/Table13[[#This Row],[Column2]]*100</f>
        <v>#DIV/0!</v>
      </c>
      <c r="O31" s="16" t="e">
        <f>Table13[[#This Row],[Column102]]/Table13[[#This Row],[Column5]]*100</f>
        <v>#DIV/0!</v>
      </c>
    </row>
    <row r="32" spans="4:18" x14ac:dyDescent="0.2">
      <c r="H32" s="16"/>
      <c r="I32" s="16"/>
      <c r="M32" s="16" t="e">
        <f>Table13[[#This Row],[Column5]]/Table13[[#This Row],[Column2]]*100</f>
        <v>#DIV/0!</v>
      </c>
      <c r="O32" s="16" t="e">
        <f>Table13[[#This Row],[Column102]]/Table13[[#This Row],[Column5]]*100</f>
        <v>#DIV/0!</v>
      </c>
    </row>
    <row r="33" spans="5:18" x14ac:dyDescent="0.2">
      <c r="E33" s="17"/>
      <c r="F33" s="17"/>
      <c r="G33" s="17"/>
      <c r="H33" s="19"/>
      <c r="I33" s="19"/>
      <c r="J33" s="17"/>
      <c r="K33" s="17"/>
      <c r="L33" s="17"/>
      <c r="M33" s="19" t="e">
        <f>Table13[[#This Row],[Column5]]/Table13[[#This Row],[Column2]]*100</f>
        <v>#DIV/0!</v>
      </c>
      <c r="N33" s="17"/>
      <c r="O33" s="19" t="e">
        <f>Table13[[#This Row],[Column102]]/Table13[[#This Row],[Column5]]*100</f>
        <v>#DIV/0!</v>
      </c>
      <c r="P33" s="17"/>
      <c r="Q33" s="17"/>
      <c r="R33" s="17"/>
    </row>
  </sheetData>
  <pageMargins left="0.75" right="0.75" top="1" bottom="1" header="0.5" footer="0.5"/>
  <pageSetup scale="94" orientation="portrait" horizontalDpi="4294967292" verticalDpi="4294967292"/>
  <colBreaks count="2" manualBreakCount="2">
    <brk id="9" max="1048575" man="1"/>
    <brk id="18" max="1048575" man="1"/>
  </colBreaks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D9:R33"/>
  <sheetViews>
    <sheetView topLeftCell="A9" workbookViewId="0">
      <selection activeCell="G6" sqref="G1:G1048576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109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ht="34" x14ac:dyDescent="0.2">
      <c r="D11" s="1" t="s">
        <v>92</v>
      </c>
      <c r="E11" t="s">
        <v>118</v>
      </c>
      <c r="F11">
        <v>2.2999999999999998</v>
      </c>
      <c r="G11">
        <v>2593</v>
      </c>
      <c r="H11" s="15">
        <f>Table156789[[#This Row],[Column102]]/Table156789[[#This Row],[Column2]]*0.1</f>
        <v>112.73913043478262</v>
      </c>
      <c r="I11" s="15"/>
      <c r="J11">
        <v>3</v>
      </c>
      <c r="M11">
        <f>Table156789[[#This Row],[Column5]]/Table156789[[#This Row],[Column2]]*100</f>
        <v>0</v>
      </c>
      <c r="O11" t="e">
        <f>Table156789[[#This Row],[Column102]]/Table156789[[#This Row],[Column5]]*100</f>
        <v>#DIV/0!</v>
      </c>
      <c r="Q11">
        <v>2593</v>
      </c>
      <c r="R11">
        <v>1</v>
      </c>
    </row>
    <row r="12" spans="4:18" x14ac:dyDescent="0.2">
      <c r="D12" t="s">
        <v>93</v>
      </c>
      <c r="E12" t="s">
        <v>118</v>
      </c>
      <c r="F12">
        <v>7.0000000000000007E-2</v>
      </c>
      <c r="G12">
        <v>0.84</v>
      </c>
      <c r="H12" s="15">
        <f>Table156789[[#This Row],[Column102]]/Table156789[[#This Row],[Column2]]*0.1</f>
        <v>1.2</v>
      </c>
      <c r="I12" s="15"/>
      <c r="J12">
        <v>14</v>
      </c>
      <c r="M12">
        <f>Table156789[[#This Row],[Column5]]/Table156789[[#This Row],[Column2]]*100</f>
        <v>0</v>
      </c>
      <c r="O12" t="e">
        <f>Table156789[[#This Row],[Column102]]/Table156789[[#This Row],[Column5]]*100</f>
        <v>#DIV/0!</v>
      </c>
      <c r="Q12">
        <v>0.84</v>
      </c>
      <c r="R12">
        <v>2</v>
      </c>
    </row>
    <row r="13" spans="4:18" ht="34" x14ac:dyDescent="0.2">
      <c r="D13" s="1" t="s">
        <v>94</v>
      </c>
      <c r="E13" t="s">
        <v>116</v>
      </c>
      <c r="F13">
        <v>0.19</v>
      </c>
      <c r="G13">
        <v>256</v>
      </c>
      <c r="H13" s="15">
        <f>Table156789[[#This Row],[Column102]]/Table156789[[#This Row],[Column2]]*0.1</f>
        <v>134.73684210526318</v>
      </c>
      <c r="I13" s="15">
        <f>Table156789[[#This Row],[Column102]]/Table156789[[#This Row],[Column2]]*0.1</f>
        <v>134.73684210526318</v>
      </c>
      <c r="J13">
        <v>2</v>
      </c>
      <c r="M13">
        <f>Table156789[[#This Row],[Column5]]/Table156789[[#This Row],[Column2]]*100</f>
        <v>0</v>
      </c>
      <c r="O13" t="e">
        <f>Table156789[[#This Row],[Column102]]/Table156789[[#This Row],[Column5]]*100</f>
        <v>#DIV/0!</v>
      </c>
      <c r="Q13">
        <v>256</v>
      </c>
      <c r="R13">
        <v>3</v>
      </c>
    </row>
    <row r="14" spans="4:18" x14ac:dyDescent="0.2">
      <c r="D14" t="s">
        <v>24</v>
      </c>
      <c r="E14">
        <v>2009</v>
      </c>
      <c r="F14">
        <v>0.54</v>
      </c>
      <c r="G14">
        <v>219</v>
      </c>
      <c r="H14" s="15">
        <f>Table156789[[#This Row],[Column102]]/Table156789[[#This Row],[Column2]]*0.1</f>
        <v>40.555555555555557</v>
      </c>
      <c r="I14" s="15">
        <f>Table156789[[#This Row],[Column102]]/Table156789[[#This Row],[Column2]]*0.1</f>
        <v>40.555555555555557</v>
      </c>
      <c r="J14">
        <v>5</v>
      </c>
      <c r="M14">
        <f>Table156789[[#This Row],[Column5]]/Table156789[[#This Row],[Column2]]*100</f>
        <v>0</v>
      </c>
      <c r="O14" t="e">
        <f>Table156789[[#This Row],[Column102]]/Table156789[[#This Row],[Column5]]*100</f>
        <v>#DIV/0!</v>
      </c>
      <c r="Q14">
        <v>219</v>
      </c>
      <c r="R14">
        <v>4</v>
      </c>
    </row>
    <row r="15" spans="4:18" ht="17" x14ac:dyDescent="0.2">
      <c r="D15" s="1" t="s">
        <v>95</v>
      </c>
      <c r="E15" t="s">
        <v>119</v>
      </c>
      <c r="F15">
        <v>7.0000000000000007E-2</v>
      </c>
      <c r="G15">
        <v>106</v>
      </c>
      <c r="H15" s="15">
        <f>Table156789[[#This Row],[Column102]]/Table156789[[#This Row],[Column2]]*0.1</f>
        <v>151.42857142857142</v>
      </c>
      <c r="I15" s="15"/>
      <c r="J15">
        <v>1</v>
      </c>
      <c r="M15">
        <f>Table156789[[#This Row],[Column5]]/Table156789[[#This Row],[Column2]]*100</f>
        <v>0</v>
      </c>
      <c r="O15" t="e">
        <f>Table156789[[#This Row],[Column102]]/Table156789[[#This Row],[Column5]]*100</f>
        <v>#DIV/0!</v>
      </c>
      <c r="Q15">
        <v>106</v>
      </c>
      <c r="R15">
        <v>5</v>
      </c>
    </row>
    <row r="16" spans="4:18" x14ac:dyDescent="0.2">
      <c r="D16" t="s">
        <v>96</v>
      </c>
      <c r="E16">
        <v>2009</v>
      </c>
      <c r="F16">
        <v>4.8</v>
      </c>
      <c r="G16">
        <v>716</v>
      </c>
      <c r="H16" s="15">
        <f>Table156789[[#This Row],[Column102]]/Table156789[[#This Row],[Column2]]*0.1</f>
        <v>14.91666666666667</v>
      </c>
      <c r="I16" s="15">
        <f>Table156789[[#This Row],[Column102]]/Table156789[[#This Row],[Column2]]*0.1</f>
        <v>14.91666666666667</v>
      </c>
      <c r="J16">
        <v>12</v>
      </c>
      <c r="M16">
        <f>Table156789[[#This Row],[Column5]]/Table156789[[#This Row],[Column2]]*100</f>
        <v>0</v>
      </c>
      <c r="O16" t="e">
        <f>Table156789[[#This Row],[Column102]]/Table156789[[#This Row],[Column5]]*100</f>
        <v>#DIV/0!</v>
      </c>
      <c r="Q16">
        <v>716</v>
      </c>
      <c r="R16">
        <v>6</v>
      </c>
    </row>
    <row r="17" spans="4:18" ht="17" x14ac:dyDescent="0.2">
      <c r="D17" s="1" t="s">
        <v>97</v>
      </c>
      <c r="E17" t="s">
        <v>112</v>
      </c>
      <c r="F17">
        <v>0.02</v>
      </c>
      <c r="G17">
        <v>4.5</v>
      </c>
      <c r="H17" s="15">
        <f>Table156789[[#This Row],[Column102]]/Table156789[[#This Row],[Column2]]*0.1</f>
        <v>22.5</v>
      </c>
      <c r="I17" s="15">
        <f>Table156789[[#This Row],[Column102]]/Table156789[[#This Row],[Column2]]*0.1</f>
        <v>22.5</v>
      </c>
      <c r="J17">
        <v>9</v>
      </c>
      <c r="M17">
        <f>Table156789[[#This Row],[Column5]]/Table156789[[#This Row],[Column2]]*100</f>
        <v>0</v>
      </c>
      <c r="O17" t="e">
        <f>Table156789[[#This Row],[Column102]]/Table156789[[#This Row],[Column5]]*100</f>
        <v>#DIV/0!</v>
      </c>
      <c r="Q17">
        <v>4.5</v>
      </c>
      <c r="R17">
        <v>7</v>
      </c>
    </row>
    <row r="18" spans="4:18" x14ac:dyDescent="0.2">
      <c r="D18" t="s">
        <v>80</v>
      </c>
      <c r="E18">
        <v>2008</v>
      </c>
      <c r="F18">
        <v>48</v>
      </c>
      <c r="G18">
        <v>9870</v>
      </c>
      <c r="H18" s="15">
        <f>Table156789[[#This Row],[Column102]]/Table156789[[#This Row],[Column2]]*0.1</f>
        <v>20.5625</v>
      </c>
      <c r="I18" s="15">
        <f>Table156789[[#This Row],[Column102]]/Table156789[[#This Row],[Column2]]*0.1</f>
        <v>20.5625</v>
      </c>
      <c r="J18">
        <v>10</v>
      </c>
      <c r="M18">
        <f>Table156789[[#This Row],[Column5]]/Table156789[[#This Row],[Column2]]*100</f>
        <v>0</v>
      </c>
      <c r="O18" t="e">
        <f>Table156789[[#This Row],[Column102]]/Table156789[[#This Row],[Column5]]*100</f>
        <v>#DIV/0!</v>
      </c>
      <c r="Q18">
        <v>9870</v>
      </c>
      <c r="R18">
        <v>8</v>
      </c>
    </row>
    <row r="19" spans="4:18" ht="17" x14ac:dyDescent="0.2">
      <c r="D19" s="1" t="s">
        <v>32</v>
      </c>
      <c r="F19" t="s">
        <v>120</v>
      </c>
      <c r="G19">
        <v>1287</v>
      </c>
      <c r="H19" s="15"/>
      <c r="I19" s="15"/>
      <c r="J19">
        <v>15</v>
      </c>
      <c r="M19" t="e">
        <f>Table156789[[#This Row],[Column5]]/Table156789[[#This Row],[Column2]]*100</f>
        <v>#VALUE!</v>
      </c>
      <c r="O19" t="e">
        <f>Table156789[[#This Row],[Column102]]/Table156789[[#This Row],[Column5]]*100</f>
        <v>#DIV/0!</v>
      </c>
      <c r="Q19">
        <v>1287</v>
      </c>
      <c r="R19">
        <v>9</v>
      </c>
    </row>
    <row r="20" spans="4:18" x14ac:dyDescent="0.2">
      <c r="D20" t="s">
        <v>98</v>
      </c>
      <c r="E20" t="s">
        <v>116</v>
      </c>
      <c r="F20">
        <v>0.1</v>
      </c>
      <c r="G20">
        <v>23</v>
      </c>
      <c r="H20" s="15">
        <f>Table156789[[#This Row],[Column102]]/Table156789[[#This Row],[Column2]]*0.1</f>
        <v>23</v>
      </c>
      <c r="I20" s="15">
        <f>Table156789[[#This Row],[Column102]]/Table156789[[#This Row],[Column2]]*0.1</f>
        <v>23</v>
      </c>
      <c r="J20">
        <v>8</v>
      </c>
      <c r="M20">
        <f>Table156789[[#This Row],[Column5]]/Table156789[[#This Row],[Column2]]*100</f>
        <v>0</v>
      </c>
      <c r="O20" t="e">
        <f>Table156789[[#This Row],[Column102]]/Table156789[[#This Row],[Column5]]*100</f>
        <v>#DIV/0!</v>
      </c>
      <c r="Q20">
        <v>23</v>
      </c>
      <c r="R20">
        <v>10</v>
      </c>
    </row>
    <row r="21" spans="4:18" ht="17" x14ac:dyDescent="0.2">
      <c r="D21" s="1" t="s">
        <v>99</v>
      </c>
      <c r="E21" t="s">
        <v>112</v>
      </c>
      <c r="F21">
        <v>0.2</v>
      </c>
      <c r="G21">
        <v>31</v>
      </c>
      <c r="H21" s="15">
        <f>Table156789[[#This Row],[Column102]]/Table156789[[#This Row],[Column2]]*0.1</f>
        <v>15.5</v>
      </c>
      <c r="I21" s="15">
        <f>Table156789[[#This Row],[Column102]]/Table156789[[#This Row],[Column2]]*0.1</f>
        <v>15.5</v>
      </c>
      <c r="J21">
        <v>11</v>
      </c>
      <c r="M21">
        <f>Table156789[[#This Row],[Column5]]/Table156789[[#This Row],[Column2]]*100</f>
        <v>0</v>
      </c>
      <c r="O21" t="e">
        <f>Table156789[[#This Row],[Column102]]/Table156789[[#This Row],[Column5]]*100</f>
        <v>#DIV/0!</v>
      </c>
      <c r="Q21">
        <v>31</v>
      </c>
      <c r="R21">
        <v>11</v>
      </c>
    </row>
    <row r="22" spans="4:18" ht="51" x14ac:dyDescent="0.2">
      <c r="D22" s="1" t="s">
        <v>100</v>
      </c>
      <c r="E22">
        <v>2009</v>
      </c>
      <c r="F22">
        <v>0.05</v>
      </c>
      <c r="G22">
        <v>55</v>
      </c>
      <c r="H22" s="15">
        <f>Table156789[[#This Row],[Column102]]/Table156789[[#This Row],[Column2]]*0.1</f>
        <v>110</v>
      </c>
      <c r="I22" s="15">
        <f>Table156789[[#This Row],[Column102]]/Table156789[[#This Row],[Column2]]*0.1</f>
        <v>110</v>
      </c>
      <c r="J22">
        <v>4</v>
      </c>
      <c r="M22">
        <f>Table156789[[#This Row],[Column5]]/Table156789[[#This Row],[Column2]]*100</f>
        <v>0</v>
      </c>
      <c r="O22" t="e">
        <f>Table156789[[#This Row],[Column102]]/Table156789[[#This Row],[Column5]]*100</f>
        <v>#DIV/0!</v>
      </c>
      <c r="Q22">
        <v>55</v>
      </c>
      <c r="R22">
        <v>12</v>
      </c>
    </row>
    <row r="23" spans="4:18" ht="17" x14ac:dyDescent="0.2">
      <c r="D23" s="1" t="s">
        <v>101</v>
      </c>
      <c r="E23" t="s">
        <v>147</v>
      </c>
      <c r="F23">
        <v>0.1</v>
      </c>
      <c r="G23">
        <v>28.5</v>
      </c>
      <c r="H23" s="15">
        <f>Table156789[[#This Row],[Column102]]/Table156789[[#This Row],[Column2]]*0.1</f>
        <v>28.5</v>
      </c>
      <c r="I23" s="15">
        <f>Table156789[[#This Row],[Column102]]/Table156789[[#This Row],[Column2]]*0.1</f>
        <v>28.5</v>
      </c>
      <c r="J23">
        <v>6</v>
      </c>
      <c r="M23">
        <f>Table156789[[#This Row],[Column5]]/Table156789[[#This Row],[Column2]]*100</f>
        <v>0</v>
      </c>
      <c r="O23" t="e">
        <f>Table156789[[#This Row],[Column102]]/Table156789[[#This Row],[Column5]]*100</f>
        <v>#DIV/0!</v>
      </c>
      <c r="Q23">
        <v>28.5</v>
      </c>
      <c r="R23">
        <v>13</v>
      </c>
    </row>
    <row r="24" spans="4:18" ht="17" x14ac:dyDescent="0.2">
      <c r="D24" s="1" t="s">
        <v>63</v>
      </c>
      <c r="E24">
        <v>2009</v>
      </c>
      <c r="F24">
        <v>9.9</v>
      </c>
      <c r="G24">
        <v>1066</v>
      </c>
      <c r="H24" s="15">
        <f>Table156789[[#This Row],[Column102]]/Table156789[[#This Row],[Column2]]*0.1</f>
        <v>10.767676767676768</v>
      </c>
      <c r="I24" s="15">
        <f>Table156789[[#This Row],[Column102]]/Table156789[[#This Row],[Column2]]*0.1</f>
        <v>10.767676767676768</v>
      </c>
      <c r="J24">
        <v>13</v>
      </c>
      <c r="M24">
        <f>Table156789[[#This Row],[Column5]]/Table156789[[#This Row],[Column2]]*100</f>
        <v>0</v>
      </c>
      <c r="O24" t="e">
        <f>Table156789[[#This Row],[Column102]]/Table156789[[#This Row],[Column5]]*100</f>
        <v>#DIV/0!</v>
      </c>
      <c r="Q24">
        <v>1066</v>
      </c>
      <c r="R24">
        <v>14</v>
      </c>
    </row>
    <row r="25" spans="4:18" ht="17" x14ac:dyDescent="0.2">
      <c r="D25" s="1" t="s">
        <v>102</v>
      </c>
      <c r="E25">
        <v>2009</v>
      </c>
      <c r="F25">
        <v>0.1</v>
      </c>
      <c r="G25">
        <v>26</v>
      </c>
      <c r="H25" s="15">
        <f>Table156789[[#This Row],[Column102]]/Table156789[[#This Row],[Column2]]*0.1</f>
        <v>26</v>
      </c>
      <c r="I25" s="15">
        <f>Table156789[[#This Row],[Column102]]/Table156789[[#This Row],[Column2]]*0.1</f>
        <v>26</v>
      </c>
      <c r="J25">
        <v>7</v>
      </c>
      <c r="M25">
        <f>Table156789[[#This Row],[Column5]]/Table156789[[#This Row],[Column2]]*100</f>
        <v>0</v>
      </c>
      <c r="O25" t="e">
        <f>Table156789[[#This Row],[Column102]]/Table156789[[#This Row],[Column5]]*100</f>
        <v>#DIV/0!</v>
      </c>
      <c r="Q25">
        <v>26</v>
      </c>
      <c r="R25">
        <v>15</v>
      </c>
    </row>
    <row r="26" spans="4:18" x14ac:dyDescent="0.2">
      <c r="H26" s="15"/>
      <c r="I26" s="15"/>
      <c r="M26" s="16" t="e">
        <f>Table156789[[#This Row],[Column5]]/Table156789[[#This Row],[Column2]]*100</f>
        <v>#DIV/0!</v>
      </c>
      <c r="O26" s="16" t="e">
        <f>Table156789[[#This Row],[Column102]]/Table156789[[#This Row],[Column5]]*100</f>
        <v>#DIV/0!</v>
      </c>
    </row>
    <row r="27" spans="4:18" x14ac:dyDescent="0.2">
      <c r="H27" s="15"/>
      <c r="I27" s="15"/>
      <c r="M27" s="16" t="e">
        <f>Table156789[[#This Row],[Column5]]/Table156789[[#This Row],[Column2]]*100</f>
        <v>#DIV/0!</v>
      </c>
      <c r="O27" s="16" t="e">
        <f>Table156789[[#This Row],[Column102]]/Table156789[[#This Row],[Column5]]*100</f>
        <v>#DIV/0!</v>
      </c>
    </row>
    <row r="28" spans="4:18" x14ac:dyDescent="0.2">
      <c r="H28" s="15"/>
      <c r="I28" s="15"/>
      <c r="M28" s="16" t="e">
        <f>Table156789[[#This Row],[Column5]]/Table156789[[#This Row],[Column2]]*100</f>
        <v>#DIV/0!</v>
      </c>
      <c r="O28" s="16" t="e">
        <f>Table156789[[#This Row],[Column102]]/Table156789[[#This Row],[Column5]]*100</f>
        <v>#DIV/0!</v>
      </c>
    </row>
    <row r="29" spans="4:18" ht="34" x14ac:dyDescent="0.2">
      <c r="D29" s="1" t="s">
        <v>172</v>
      </c>
      <c r="H29" s="15">
        <v>46</v>
      </c>
      <c r="I29" s="15">
        <v>41</v>
      </c>
      <c r="M29" s="16" t="e">
        <f>Table156789[[#This Row],[Column5]]/Table156789[[#This Row],[Column2]]*100</f>
        <v>#DIV/0!</v>
      </c>
      <c r="O29" s="16" t="e">
        <f>Table156789[[#This Row],[Column102]]/Table156789[[#This Row],[Column5]]*100</f>
        <v>#DIV/0!</v>
      </c>
    </row>
    <row r="30" spans="4:18" ht="34" x14ac:dyDescent="0.2">
      <c r="D30" s="1" t="s">
        <v>162</v>
      </c>
      <c r="H30" s="15">
        <f>H11/H29*100</f>
        <v>245.08506616257094</v>
      </c>
      <c r="I30" s="15">
        <f>H11/I29*(100)</f>
        <v>274.97348886532347</v>
      </c>
      <c r="M30" s="16" t="e">
        <f>Table156789[[#This Row],[Column5]]/Table156789[[#This Row],[Column2]]*100</f>
        <v>#DIV/0!</v>
      </c>
      <c r="O30" s="16" t="e">
        <f>Table156789[[#This Row],[Column102]]/Table156789[[#This Row],[Column5]]*100</f>
        <v>#DIV/0!</v>
      </c>
    </row>
    <row r="31" spans="4:18" x14ac:dyDescent="0.2">
      <c r="H31" s="15"/>
      <c r="I31" s="15"/>
      <c r="M31" s="16" t="e">
        <f>Table156789[[#This Row],[Column5]]/Table156789[[#This Row],[Column2]]*100</f>
        <v>#DIV/0!</v>
      </c>
      <c r="O31" s="16" t="e">
        <f>Table156789[[#This Row],[Column102]]/Table156789[[#This Row],[Column5]]*100</f>
        <v>#DIV/0!</v>
      </c>
    </row>
    <row r="32" spans="4:18" x14ac:dyDescent="0.2">
      <c r="H32" s="15"/>
      <c r="I32" s="15"/>
      <c r="M32" s="16" t="e">
        <f>Table156789[[#This Row],[Column5]]/Table156789[[#This Row],[Column2]]*100</f>
        <v>#DIV/0!</v>
      </c>
      <c r="O32" s="16" t="e">
        <f>Table156789[[#This Row],[Column102]]/Table156789[[#This Row],[Column5]]*100</f>
        <v>#DIV/0!</v>
      </c>
    </row>
    <row r="33" spans="5:18" x14ac:dyDescent="0.2">
      <c r="E33" s="17"/>
      <c r="F33" s="17"/>
      <c r="G33" s="17"/>
      <c r="H33" s="18"/>
      <c r="I33" s="18"/>
      <c r="J33" s="17"/>
      <c r="K33" s="17"/>
      <c r="L33" s="17"/>
      <c r="M33" s="19" t="e">
        <f>Table156789[[#This Row],[Column5]]/Table156789[[#This Row],[Column2]]*100</f>
        <v>#DIV/0!</v>
      </c>
      <c r="N33" s="17"/>
      <c r="O33" s="19" t="e">
        <f>Table156789[[#This Row],[Column102]]/Table156789[[#This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D9:S33"/>
  <sheetViews>
    <sheetView topLeftCell="A5" workbookViewId="0">
      <selection activeCell="G5" sqref="G1:G1048576"/>
    </sheetView>
  </sheetViews>
  <sheetFormatPr baseColWidth="10" defaultRowHeight="16" x14ac:dyDescent="0.2"/>
  <sheetData>
    <row r="9" spans="4:19" ht="68" x14ac:dyDescent="0.2">
      <c r="E9" s="1" t="s">
        <v>10</v>
      </c>
      <c r="F9" s="1" t="s">
        <v>111</v>
      </c>
      <c r="G9" s="1" t="s">
        <v>117</v>
      </c>
      <c r="H9" s="1" t="s">
        <v>12</v>
      </c>
      <c r="I9" s="1" t="s">
        <v>166</v>
      </c>
      <c r="J9" s="1" t="s">
        <v>13</v>
      </c>
      <c r="K9" s="1" t="s">
        <v>168</v>
      </c>
      <c r="L9" s="1" t="s">
        <v>14</v>
      </c>
      <c r="M9" s="1" t="s">
        <v>10</v>
      </c>
      <c r="N9" s="1" t="s">
        <v>15</v>
      </c>
      <c r="O9" s="1" t="s">
        <v>16</v>
      </c>
      <c r="P9" s="1" t="s">
        <v>17</v>
      </c>
      <c r="Q9" s="1" t="s">
        <v>18</v>
      </c>
      <c r="R9" s="1" t="s">
        <v>117</v>
      </c>
      <c r="S9" s="1" t="s">
        <v>21</v>
      </c>
    </row>
    <row r="10" spans="4:19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167</v>
      </c>
      <c r="L10" t="s">
        <v>4</v>
      </c>
      <c r="M10" t="s">
        <v>22</v>
      </c>
      <c r="N10" t="s">
        <v>5</v>
      </c>
      <c r="O10" t="s">
        <v>6</v>
      </c>
      <c r="P10" t="s">
        <v>7</v>
      </c>
      <c r="Q10" t="s">
        <v>8</v>
      </c>
      <c r="R10" t="s">
        <v>177</v>
      </c>
      <c r="S10" t="s">
        <v>20</v>
      </c>
    </row>
    <row r="11" spans="4:19" ht="34" x14ac:dyDescent="0.2">
      <c r="D11" s="13" t="s">
        <v>92</v>
      </c>
      <c r="E11" t="s">
        <v>116</v>
      </c>
      <c r="F11">
        <v>3.1</v>
      </c>
      <c r="G11">
        <v>3026</v>
      </c>
      <c r="H11" s="15">
        <f>Table15678911[[#This Row],[Column102]]/Table15678911[[#This Row],[Column2]]*0.1</f>
        <v>97.612903225806463</v>
      </c>
      <c r="I11" s="15"/>
      <c r="J11">
        <v>2</v>
      </c>
      <c r="K11">
        <v>0.73699999999999999</v>
      </c>
      <c r="N11">
        <f>Table15678911[[#This Row],[Column5]]/Table15678911[[#This Row],[Column2]]*100</f>
        <v>0</v>
      </c>
      <c r="P11" t="e">
        <f>Table15678911[[#This Row],[Column102]]/Table15678911[[#This Row],[Column5]]*100</f>
        <v>#DIV/0!</v>
      </c>
      <c r="R11">
        <v>3026</v>
      </c>
      <c r="S11">
        <v>1</v>
      </c>
    </row>
    <row r="12" spans="4:19" x14ac:dyDescent="0.2">
      <c r="D12" s="14" t="s">
        <v>25</v>
      </c>
      <c r="E12" t="s">
        <v>116</v>
      </c>
      <c r="F12">
        <v>1.6</v>
      </c>
      <c r="G12">
        <v>783</v>
      </c>
      <c r="H12" s="15">
        <f>Table15678911[[#This Row],[Column102]]/Table15678911[[#This Row],[Column2]]*0.1</f>
        <v>48.9375</v>
      </c>
      <c r="I12" s="15">
        <f>Table15678911[[#This Row],[Column102]]/Table15678911[[#This Row],[Column2]]*0.1</f>
        <v>48.9375</v>
      </c>
      <c r="J12">
        <v>3</v>
      </c>
      <c r="K12">
        <v>0.73299999999999998</v>
      </c>
      <c r="N12">
        <f>Table15678911[[#This Row],[Column5]]/Table15678911[[#This Row],[Column2]]*100</f>
        <v>0</v>
      </c>
      <c r="P12" t="e">
        <f>Table15678911[[#This Row],[Column102]]/Table15678911[[#This Row],[Column5]]*100</f>
        <v>#DIV/0!</v>
      </c>
      <c r="R12">
        <v>783</v>
      </c>
      <c r="S12">
        <v>2</v>
      </c>
    </row>
    <row r="13" spans="4:19" x14ac:dyDescent="0.2">
      <c r="D13" s="14" t="s">
        <v>24</v>
      </c>
      <c r="E13" t="s">
        <v>116</v>
      </c>
      <c r="F13">
        <v>0.78</v>
      </c>
      <c r="G13">
        <v>192</v>
      </c>
      <c r="H13" s="15">
        <f>Table15678911[[#This Row],[Column102]]/Table15678911[[#This Row],[Column2]]*0.1</f>
        <v>24.615384615384613</v>
      </c>
      <c r="I13" s="15">
        <f>Table15678911[[#This Row],[Column102]]/Table15678911[[#This Row],[Column2]]*0.1</f>
        <v>24.615384615384613</v>
      </c>
      <c r="J13">
        <v>7</v>
      </c>
      <c r="K13">
        <v>0.70799999999999996</v>
      </c>
      <c r="N13">
        <f>Table15678911[[#This Row],[Column5]]/Table15678911[[#This Row],[Column2]]*100</f>
        <v>0</v>
      </c>
      <c r="P13" t="e">
        <f>Table15678911[[#This Row],[Column102]]/Table15678911[[#This Row],[Column5]]*100</f>
        <v>#DIV/0!</v>
      </c>
      <c r="R13">
        <v>192</v>
      </c>
      <c r="S13">
        <v>3</v>
      </c>
    </row>
    <row r="14" spans="4:19" x14ac:dyDescent="0.2">
      <c r="D14" s="14" t="s">
        <v>33</v>
      </c>
      <c r="E14" t="s">
        <v>147</v>
      </c>
      <c r="F14">
        <v>0.94</v>
      </c>
      <c r="G14">
        <v>151</v>
      </c>
      <c r="H14" s="15">
        <f>Table15678911[[#This Row],[Column102]]/Table15678911[[#This Row],[Column2]]*0.1</f>
        <v>16.063829787234045</v>
      </c>
      <c r="I14" s="15">
        <f>Table15678911[[#This Row],[Column102]]/Table15678911[[#This Row],[Column2]]*0.1</f>
        <v>16.063829787234045</v>
      </c>
      <c r="J14">
        <v>12</v>
      </c>
      <c r="K14">
        <v>0.76900000000000002</v>
      </c>
      <c r="N14">
        <f>Table15678911[[#This Row],[Column5]]/Table15678911[[#This Row],[Column2]]*100</f>
        <v>0</v>
      </c>
      <c r="P14" t="e">
        <f>Table15678911[[#This Row],[Column102]]/Table15678911[[#This Row],[Column5]]*100</f>
        <v>#DIV/0!</v>
      </c>
      <c r="R14">
        <v>151</v>
      </c>
      <c r="S14">
        <v>4</v>
      </c>
    </row>
    <row r="15" spans="4:19" x14ac:dyDescent="0.2">
      <c r="D15" s="14" t="s">
        <v>103</v>
      </c>
      <c r="E15" t="s">
        <v>116</v>
      </c>
      <c r="F15">
        <v>0.2</v>
      </c>
      <c r="G15">
        <v>39</v>
      </c>
      <c r="H15" s="15">
        <f>Table15678911[[#This Row],[Column102]]/Table15678911[[#This Row],[Column2]]*0.1</f>
        <v>19.5</v>
      </c>
      <c r="I15" s="15">
        <f>Table15678911[[#This Row],[Column102]]/Table15678911[[#This Row],[Column2]]*0.1</f>
        <v>19.5</v>
      </c>
      <c r="J15">
        <v>10</v>
      </c>
      <c r="K15">
        <v>0.82099999999999995</v>
      </c>
      <c r="N15">
        <f>Table15678911[[#This Row],[Column5]]/Table15678911[[#This Row],[Column2]]*100</f>
        <v>0</v>
      </c>
      <c r="P15" t="e">
        <f>Table15678911[[#This Row],[Column102]]/Table15678911[[#This Row],[Column5]]*100</f>
        <v>#DIV/0!</v>
      </c>
      <c r="R15">
        <v>39</v>
      </c>
      <c r="S15">
        <v>5</v>
      </c>
    </row>
    <row r="16" spans="4:19" x14ac:dyDescent="0.2">
      <c r="D16" s="14" t="s">
        <v>28</v>
      </c>
      <c r="E16" t="s">
        <v>116</v>
      </c>
      <c r="F16">
        <v>0.65</v>
      </c>
      <c r="G16">
        <v>183</v>
      </c>
      <c r="H16" s="15">
        <f>Table15678911[[#This Row],[Column102]]/Table15678911[[#This Row],[Column2]]*0.1</f>
        <v>28.153846153846157</v>
      </c>
      <c r="I16" s="15">
        <f>Table15678911[[#This Row],[Column102]]/Table15678911[[#This Row],[Column2]]*0.1</f>
        <v>28.153846153846157</v>
      </c>
      <c r="J16">
        <v>5</v>
      </c>
      <c r="K16">
        <v>0.72899999999999998</v>
      </c>
      <c r="N16">
        <f>Table15678911[[#This Row],[Column5]]/Table15678911[[#This Row],[Column2]]*100</f>
        <v>0</v>
      </c>
      <c r="P16" t="e">
        <f>Table15678911[[#This Row],[Column102]]/Table15678911[[#This Row],[Column5]]*100</f>
        <v>#DIV/0!</v>
      </c>
      <c r="R16">
        <v>183</v>
      </c>
      <c r="S16">
        <v>6</v>
      </c>
    </row>
    <row r="17" spans="4:19" x14ac:dyDescent="0.2">
      <c r="D17" s="14" t="s">
        <v>104</v>
      </c>
      <c r="E17" t="s">
        <v>116</v>
      </c>
      <c r="F17">
        <v>4</v>
      </c>
      <c r="G17">
        <v>916</v>
      </c>
      <c r="H17" s="15">
        <f>Table15678911[[#This Row],[Column102]]/Table15678911[[#This Row],[Column2]]*0.1</f>
        <v>22.900000000000002</v>
      </c>
      <c r="I17" s="15">
        <f>Table15678911[[#This Row],[Column102]]/Table15678911[[#This Row],[Column2]]*0.1</f>
        <v>22.900000000000002</v>
      </c>
      <c r="J17">
        <v>8</v>
      </c>
      <c r="K17">
        <v>0.77800000000000002</v>
      </c>
      <c r="N17">
        <f>Table15678911[[#This Row],[Column5]]/Table15678911[[#This Row],[Column2]]*100</f>
        <v>0</v>
      </c>
      <c r="P17" t="e">
        <f>Table15678911[[#This Row],[Column102]]/Table15678911[[#This Row],[Column5]]*100</f>
        <v>#DIV/0!</v>
      </c>
      <c r="R17">
        <v>916</v>
      </c>
      <c r="S17">
        <v>7</v>
      </c>
    </row>
    <row r="18" spans="4:19" x14ac:dyDescent="0.2">
      <c r="D18" s="14" t="s">
        <v>31</v>
      </c>
      <c r="E18">
        <v>2010</v>
      </c>
      <c r="F18">
        <v>3.3</v>
      </c>
      <c r="G18">
        <v>6070</v>
      </c>
      <c r="H18" s="15">
        <f>Table15678911[[#This Row],[Column102]]/Table15678911[[#This Row],[Column2]]*0.1</f>
        <v>183.93939393939397</v>
      </c>
      <c r="I18" s="15"/>
      <c r="J18">
        <v>1</v>
      </c>
      <c r="K18">
        <v>0.35199999999999998</v>
      </c>
      <c r="N18">
        <f>Table15678911[[#This Row],[Column5]]/Table15678911[[#This Row],[Column2]]*100</f>
        <v>0</v>
      </c>
      <c r="P18" t="e">
        <f>Table15678911[[#This Row],[Column102]]/Table15678911[[#This Row],[Column5]]*100</f>
        <v>#DIV/0!</v>
      </c>
      <c r="R18">
        <v>6070</v>
      </c>
      <c r="S18">
        <v>8</v>
      </c>
    </row>
    <row r="19" spans="4:19" x14ac:dyDescent="0.2">
      <c r="D19" s="14" t="s">
        <v>105</v>
      </c>
      <c r="E19" t="s">
        <v>116</v>
      </c>
      <c r="F19">
        <v>0.8</v>
      </c>
      <c r="G19">
        <v>211</v>
      </c>
      <c r="H19" s="15">
        <f>Table15678911[[#This Row],[Column102]]/Table15678911[[#This Row],[Column2]]*0.1</f>
        <v>26.375</v>
      </c>
      <c r="I19" s="15">
        <f>Table15678911[[#This Row],[Column102]]/Table15678911[[#This Row],[Column2]]*0.1</f>
        <v>26.375</v>
      </c>
      <c r="J19">
        <v>6</v>
      </c>
      <c r="K19">
        <v>0.48899999999999999</v>
      </c>
      <c r="N19">
        <f>Table15678911[[#This Row],[Column5]]/Table15678911[[#This Row],[Column2]]*100</f>
        <v>0</v>
      </c>
      <c r="P19" t="e">
        <f>Table15678911[[#This Row],[Column102]]/Table15678911[[#This Row],[Column5]]*100</f>
        <v>#DIV/0!</v>
      </c>
      <c r="R19">
        <v>211</v>
      </c>
      <c r="S19">
        <v>9</v>
      </c>
    </row>
    <row r="20" spans="4:19" x14ac:dyDescent="0.2">
      <c r="D20" s="14" t="s">
        <v>106</v>
      </c>
      <c r="E20" t="s">
        <v>116</v>
      </c>
      <c r="F20">
        <v>0.5</v>
      </c>
      <c r="G20">
        <v>170</v>
      </c>
      <c r="H20" s="15">
        <f>Table15678911[[#This Row],[Column102]]/Table15678911[[#This Row],[Column2]]*0.1</f>
        <v>34</v>
      </c>
      <c r="I20" s="15">
        <f>Table15678911[[#This Row],[Column102]]/Table15678911[[#This Row],[Column2]]*0.1</f>
        <v>34</v>
      </c>
      <c r="J20">
        <v>4</v>
      </c>
      <c r="K20">
        <v>0.52</v>
      </c>
      <c r="N20">
        <f>Table15678911[[#This Row],[Column5]]/Table15678911[[#This Row],[Column2]]*100</f>
        <v>0</v>
      </c>
      <c r="P20" t="e">
        <f>Table15678911[[#This Row],[Column102]]/Table15678911[[#This Row],[Column5]]*100</f>
        <v>#DIV/0!</v>
      </c>
      <c r="R20">
        <v>170</v>
      </c>
      <c r="S20">
        <v>10</v>
      </c>
    </row>
    <row r="21" spans="4:19" x14ac:dyDescent="0.2">
      <c r="D21" s="14" t="s">
        <v>30</v>
      </c>
      <c r="E21" t="s">
        <v>116</v>
      </c>
      <c r="F21">
        <v>0.66</v>
      </c>
      <c r="G21">
        <v>125</v>
      </c>
      <c r="H21" s="15">
        <f>Table15678911[[#This Row],[Column102]]/Table15678911[[#This Row],[Column2]]*0.1</f>
        <v>18.939393939393938</v>
      </c>
      <c r="I21" s="15">
        <f>Table15678911[[#This Row],[Column102]]/Table15678911[[#This Row],[Column2]]*0.1</f>
        <v>18.939393939393938</v>
      </c>
      <c r="J21">
        <v>11</v>
      </c>
      <c r="K21">
        <v>0.61899999999999999</v>
      </c>
      <c r="N21">
        <f>Table15678911[[#This Row],[Column5]]/Table15678911[[#This Row],[Column2]]*100</f>
        <v>0</v>
      </c>
      <c r="P21" t="e">
        <f>Table15678911[[#This Row],[Column102]]/Table15678911[[#This Row],[Column5]]*100</f>
        <v>#DIV/0!</v>
      </c>
      <c r="R21">
        <v>125</v>
      </c>
      <c r="S21">
        <v>11</v>
      </c>
    </row>
    <row r="22" spans="4:19" x14ac:dyDescent="0.2">
      <c r="D22" s="14" t="s">
        <v>90</v>
      </c>
      <c r="E22" t="s">
        <v>116</v>
      </c>
      <c r="F22">
        <v>2.5</v>
      </c>
      <c r="G22">
        <v>531</v>
      </c>
      <c r="H22" s="15">
        <f>Table15678911[[#This Row],[Column102]]/Table15678911[[#This Row],[Column2]]*0.1</f>
        <v>21.240000000000002</v>
      </c>
      <c r="I22" s="15">
        <f>Table15678911[[#This Row],[Column102]]/Table15678911[[#This Row],[Column2]]*0.1</f>
        <v>21.240000000000002</v>
      </c>
      <c r="J22">
        <v>9</v>
      </c>
      <c r="K22">
        <v>0.79800000000000004</v>
      </c>
      <c r="N22">
        <f>Table15678911[[#This Row],[Column5]]/Table15678911[[#This Row],[Column2]]*100</f>
        <v>0</v>
      </c>
      <c r="P22" t="e">
        <f>Table15678911[[#This Row],[Column102]]/Table15678911[[#This Row],[Column5]]*100</f>
        <v>#DIV/0!</v>
      </c>
      <c r="R22">
        <v>531</v>
      </c>
      <c r="S22">
        <v>12</v>
      </c>
    </row>
    <row r="23" spans="4:19" x14ac:dyDescent="0.2">
      <c r="D23" s="14" t="s">
        <v>63</v>
      </c>
      <c r="E23" t="s">
        <v>116</v>
      </c>
      <c r="F23">
        <v>11.3</v>
      </c>
      <c r="G23">
        <v>638</v>
      </c>
      <c r="H23" s="15">
        <f>Table15678911[[#This Row],[Column102]]/Table15678911[[#This Row],[Column2]]*0.1</f>
        <v>5.6460176991150446</v>
      </c>
      <c r="I23" s="15">
        <f>Table15678911[[#This Row],[Column102]]/Table15678911[[#This Row],[Column2]]*0.1</f>
        <v>5.6460176991150446</v>
      </c>
      <c r="J23">
        <v>14</v>
      </c>
      <c r="K23">
        <v>0.80300000000000005</v>
      </c>
      <c r="N23">
        <f>Table15678911[[#This Row],[Column5]]/Table15678911[[#This Row],[Column2]]*100</f>
        <v>0</v>
      </c>
      <c r="P23" t="e">
        <f>Table15678911[[#This Row],[Column102]]/Table15678911[[#This Row],[Column5]]*100</f>
        <v>#DIV/0!</v>
      </c>
      <c r="R23">
        <v>638</v>
      </c>
      <c r="S23">
        <v>13</v>
      </c>
    </row>
    <row r="24" spans="4:19" x14ac:dyDescent="0.2">
      <c r="D24" s="14" t="s">
        <v>47</v>
      </c>
      <c r="E24" t="s">
        <v>116</v>
      </c>
      <c r="F24">
        <v>3.9</v>
      </c>
      <c r="G24">
        <v>331</v>
      </c>
      <c r="H24" s="15">
        <f>Table15678911[[#This Row],[Column102]]/Table15678911[[#This Row],[Column2]]*0.1</f>
        <v>8.4871794871794872</v>
      </c>
      <c r="I24" s="15">
        <f>Table15678911[[#This Row],[Column102]]/Table15678911[[#This Row],[Column2]]*0.1</f>
        <v>8.4871794871794872</v>
      </c>
      <c r="J24">
        <v>13</v>
      </c>
      <c r="K24">
        <v>0.68600000000000005</v>
      </c>
      <c r="N24">
        <f>Table15678911[[#This Row],[Column5]]/Table15678911[[#This Row],[Column2]]*100</f>
        <v>0</v>
      </c>
      <c r="P24" t="e">
        <f>Table15678911[[#This Row],[Column102]]/Table15678911[[#This Row],[Column5]]*100</f>
        <v>#DIV/0!</v>
      </c>
      <c r="R24">
        <v>331</v>
      </c>
      <c r="S24">
        <v>14</v>
      </c>
    </row>
    <row r="25" spans="4:19" x14ac:dyDescent="0.2">
      <c r="D25" s="14" t="s">
        <v>96</v>
      </c>
      <c r="E25" t="s">
        <v>116</v>
      </c>
      <c r="F25">
        <v>5.6</v>
      </c>
      <c r="G25">
        <v>287</v>
      </c>
      <c r="H25" s="15">
        <f>Table15678911[[#This Row],[Column102]]/Table15678911[[#This Row],[Column2]]*0.1</f>
        <v>5.125</v>
      </c>
      <c r="I25" s="15"/>
      <c r="J25">
        <v>15</v>
      </c>
      <c r="K25">
        <v>0.69399999999999995</v>
      </c>
      <c r="N25">
        <f>Table15678911[[#This Row],[Column5]]/Table15678911[[#This Row],[Column2]]*100</f>
        <v>0</v>
      </c>
      <c r="P25" t="e">
        <f>Table15678911[[#This Row],[Column102]]/Table15678911[[#This Row],[Column5]]*100</f>
        <v>#DIV/0!</v>
      </c>
      <c r="R25">
        <v>287</v>
      </c>
      <c r="S25">
        <v>15</v>
      </c>
    </row>
    <row r="26" spans="4:19" x14ac:dyDescent="0.2">
      <c r="H26" s="15"/>
      <c r="I26" s="15"/>
      <c r="N26" s="16" t="e">
        <f>Table15678911[[#This Row],[Column5]]/Table15678911[[#This Row],[Column2]]*100</f>
        <v>#DIV/0!</v>
      </c>
      <c r="P26" s="16" t="e">
        <f>Table15678911[[#This Row],[Column102]]/Table15678911[[#This Row],[Column5]]*100</f>
        <v>#DIV/0!</v>
      </c>
    </row>
    <row r="27" spans="4:19" x14ac:dyDescent="0.2">
      <c r="H27" s="15"/>
      <c r="I27" s="15"/>
      <c r="N27" s="16" t="e">
        <f>Table15678911[[#This Row],[Column5]]/Table15678911[[#This Row],[Column2]]*100</f>
        <v>#DIV/0!</v>
      </c>
      <c r="P27" s="16" t="e">
        <f>Table15678911[[#This Row],[Column102]]/Table15678911[[#This Row],[Column5]]*100</f>
        <v>#DIV/0!</v>
      </c>
    </row>
    <row r="28" spans="4:19" x14ac:dyDescent="0.2">
      <c r="H28" s="15"/>
      <c r="I28" s="15"/>
      <c r="N28" s="16" t="e">
        <f>Table15678911[[#This Row],[Column5]]/Table15678911[[#This Row],[Column2]]*100</f>
        <v>#DIV/0!</v>
      </c>
      <c r="P28" s="16" t="e">
        <f>Table15678911[[#This Row],[Column102]]/Table15678911[[#This Row],[Column5]]*100</f>
        <v>#DIV/0!</v>
      </c>
    </row>
    <row r="29" spans="4:19" ht="34" x14ac:dyDescent="0.2">
      <c r="D29" s="1" t="s">
        <v>172</v>
      </c>
      <c r="H29" s="15">
        <v>33</v>
      </c>
      <c r="I29" s="15">
        <v>23</v>
      </c>
      <c r="K29">
        <f>AVERAGE(K12:K25)</f>
        <v>0.67850000000000021</v>
      </c>
      <c r="N29" s="16" t="e">
        <f>Table15678911[[#This Row],[Column5]]/Table15678911[[#This Row],[Column2]]*100</f>
        <v>#DIV/0!</v>
      </c>
      <c r="P29" s="16" t="e">
        <f>Table15678911[[#This Row],[Column102]]/Table15678911[[#This Row],[Column5]]*100</f>
        <v>#DIV/0!</v>
      </c>
    </row>
    <row r="30" spans="4:19" ht="34" x14ac:dyDescent="0.2">
      <c r="D30" s="1" t="s">
        <v>162</v>
      </c>
      <c r="H30" s="15">
        <f>H11/H29*100</f>
        <v>295.7966764418378</v>
      </c>
      <c r="I30" s="15">
        <f>H11/I29*100</f>
        <v>424.40392706872376</v>
      </c>
      <c r="K30" s="23">
        <f>K11/K29*100</f>
        <v>108.62196020633748</v>
      </c>
      <c r="N30" s="16" t="e">
        <f>Table15678911[[#This Row],[Column5]]/Table15678911[[#This Row],[Column2]]*100</f>
        <v>#DIV/0!</v>
      </c>
      <c r="P30" s="16" t="e">
        <f>Table15678911[[#This Row],[Column102]]/Table15678911[[#This Row],[Column5]]*100</f>
        <v>#DIV/0!</v>
      </c>
    </row>
    <row r="31" spans="4:19" x14ac:dyDescent="0.2">
      <c r="H31" s="15"/>
      <c r="I31" s="15"/>
      <c r="N31" s="16" t="e">
        <f>Table15678911[[#This Row],[Column5]]/Table15678911[[#This Row],[Column2]]*100</f>
        <v>#DIV/0!</v>
      </c>
      <c r="P31" s="16" t="e">
        <f>Table15678911[[#This Row],[Column102]]/Table15678911[[#This Row],[Column5]]*100</f>
        <v>#DIV/0!</v>
      </c>
    </row>
    <row r="32" spans="4:19" x14ac:dyDescent="0.2">
      <c r="H32" s="15"/>
      <c r="I32" s="15"/>
      <c r="N32" s="16" t="e">
        <f>Table15678911[[#This Row],[Column5]]/Table15678911[[#This Row],[Column2]]*100</f>
        <v>#DIV/0!</v>
      </c>
      <c r="P32" s="16" t="e">
        <f>Table15678911[[#This Row],[Column102]]/Table15678911[[#This Row],[Column5]]*100</f>
        <v>#DIV/0!</v>
      </c>
    </row>
    <row r="33" spans="5:19" x14ac:dyDescent="0.2">
      <c r="E33" s="17"/>
      <c r="F33" s="17"/>
      <c r="G33" s="17"/>
      <c r="H33" s="18"/>
      <c r="I33" s="18"/>
      <c r="J33" s="17"/>
      <c r="K33" s="17"/>
      <c r="L33" s="17"/>
      <c r="M33" s="17"/>
      <c r="N33" s="19" t="e">
        <f>Table15678911[[#This Row],[Column5]]/Table15678911[[#This Row],[Column2]]*100</f>
        <v>#DIV/0!</v>
      </c>
      <c r="O33" s="17"/>
      <c r="P33" s="19" t="e">
        <f>Table15678911[[#This Row],[Column102]]/Table15678911[[#This Row],[Column5]]*100</f>
        <v>#DIV/0!</v>
      </c>
      <c r="Q33" s="17"/>
      <c r="R33" s="17"/>
      <c r="S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D9:R33"/>
  <sheetViews>
    <sheetView topLeftCell="A7" workbookViewId="0">
      <selection activeCell="G9" sqref="G9"/>
    </sheetView>
  </sheetViews>
  <sheetFormatPr baseColWidth="10" defaultRowHeight="16" x14ac:dyDescent="0.2"/>
  <sheetData>
    <row r="9" spans="4:18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14</v>
      </c>
      <c r="L9" s="1" t="s">
        <v>10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110</v>
      </c>
      <c r="R9" s="1" t="s">
        <v>21</v>
      </c>
    </row>
    <row r="10" spans="4:18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4</v>
      </c>
      <c r="L10" t="s">
        <v>22</v>
      </c>
      <c r="M10" t="s">
        <v>5</v>
      </c>
      <c r="N10" t="s">
        <v>6</v>
      </c>
      <c r="O10" t="s">
        <v>7</v>
      </c>
      <c r="P10" t="s">
        <v>8</v>
      </c>
      <c r="Q10" t="s">
        <v>177</v>
      </c>
      <c r="R10" t="s">
        <v>20</v>
      </c>
    </row>
    <row r="11" spans="4:18" x14ac:dyDescent="0.2">
      <c r="D11" s="4" t="s">
        <v>24</v>
      </c>
      <c r="E11">
        <v>2011</v>
      </c>
      <c r="F11">
        <v>0.78</v>
      </c>
      <c r="G11">
        <v>329</v>
      </c>
      <c r="H11" s="15">
        <f>Table15678910[[#This Row],[Column102]]/Table15678910[[#This Row],[Column2]]*0.1</f>
        <v>42.179487179487182</v>
      </c>
      <c r="I11" s="15">
        <f>Table15678910[[#This Row],[Column102]]/Table15678910[[#This Row],[Column2]]*0.1</f>
        <v>42.179487179487182</v>
      </c>
      <c r="J11">
        <v>7</v>
      </c>
      <c r="M11">
        <f>Table15678910[[#This Row],[Column5]]/Table15678910[[#This Row],[Column2]]*100</f>
        <v>0</v>
      </c>
      <c r="O11" t="e">
        <f>Table15678910[[#This Row],[Column102]]/Table15678910[[#This Row],[Column5]]*100</f>
        <v>#DIV/0!</v>
      </c>
      <c r="Q11">
        <v>329</v>
      </c>
      <c r="R11">
        <v>1</v>
      </c>
    </row>
    <row r="12" spans="4:18" ht="34" x14ac:dyDescent="0.2">
      <c r="D12" s="10" t="s">
        <v>89</v>
      </c>
      <c r="E12">
        <v>2011</v>
      </c>
      <c r="F12">
        <v>3.1</v>
      </c>
      <c r="G12">
        <v>2519</v>
      </c>
      <c r="H12" s="15">
        <f>Table15678910[[#This Row],[Column102]]/Table15678910[[#This Row],[Column2]]*0.1</f>
        <v>81.258064516129025</v>
      </c>
      <c r="I12" s="15"/>
      <c r="J12">
        <v>3</v>
      </c>
      <c r="M12">
        <f>Table15678910[[#This Row],[Column5]]/Table15678910[[#This Row],[Column2]]*100</f>
        <v>0</v>
      </c>
      <c r="O12" t="e">
        <f>Table15678910[[#This Row],[Column102]]/Table15678910[[#This Row],[Column5]]*100</f>
        <v>#DIV/0!</v>
      </c>
      <c r="Q12">
        <v>2519</v>
      </c>
      <c r="R12">
        <v>2</v>
      </c>
    </row>
    <row r="13" spans="4:18" ht="34" x14ac:dyDescent="0.2">
      <c r="D13" s="9" t="s">
        <v>107</v>
      </c>
      <c r="E13">
        <v>2011</v>
      </c>
      <c r="F13">
        <v>8.5</v>
      </c>
      <c r="G13">
        <v>4729</v>
      </c>
      <c r="H13" s="15">
        <f>Table15678910[[#This Row],[Column102]]/Table15678910[[#This Row],[Column2]]*0.1</f>
        <v>55.635294117647064</v>
      </c>
      <c r="I13" s="15">
        <f>Table15678910[[#This Row],[Column102]]/Table15678910[[#This Row],[Column2]]*0.1</f>
        <v>55.635294117647064</v>
      </c>
      <c r="J13">
        <v>5</v>
      </c>
      <c r="M13">
        <f>Table15678910[[#This Row],[Column5]]/Table15678910[[#This Row],[Column2]]*100</f>
        <v>0</v>
      </c>
      <c r="O13" t="e">
        <f>Table15678910[[#This Row],[Column102]]/Table15678910[[#This Row],[Column5]]*100</f>
        <v>#DIV/0!</v>
      </c>
      <c r="Q13">
        <v>4729</v>
      </c>
      <c r="R13">
        <v>3</v>
      </c>
    </row>
    <row r="14" spans="4:18" x14ac:dyDescent="0.2">
      <c r="D14" s="7" t="s">
        <v>32</v>
      </c>
      <c r="F14" t="s">
        <v>120</v>
      </c>
      <c r="G14">
        <v>1462</v>
      </c>
      <c r="H14" s="15"/>
      <c r="I14" s="15"/>
      <c r="J14">
        <v>15</v>
      </c>
      <c r="M14" t="e">
        <f>Table15678910[[#This Row],[Column5]]/Table15678910[[#This Row],[Column2]]*100</f>
        <v>#VALUE!</v>
      </c>
      <c r="O14" t="e">
        <f>Table15678910[[#This Row],[Column102]]/Table15678910[[#This Row],[Column5]]*100</f>
        <v>#DIV/0!</v>
      </c>
      <c r="Q14">
        <v>1462</v>
      </c>
      <c r="R14">
        <v>4</v>
      </c>
    </row>
    <row r="15" spans="4:18" x14ac:dyDescent="0.2">
      <c r="D15" s="4" t="s">
        <v>108</v>
      </c>
      <c r="E15">
        <v>2011</v>
      </c>
      <c r="F15">
        <v>0.76</v>
      </c>
      <c r="G15">
        <v>104</v>
      </c>
      <c r="H15" s="15">
        <f>Table15678910[[#This Row],[Column102]]/Table15678910[[#This Row],[Column2]]*0.1</f>
        <v>13.684210526315789</v>
      </c>
      <c r="I15" s="15">
        <f>Table15678910[[#This Row],[Column102]]/Table15678910[[#This Row],[Column2]]*0.1</f>
        <v>13.684210526315789</v>
      </c>
      <c r="J15">
        <v>12</v>
      </c>
      <c r="M15">
        <f>Table15678910[[#This Row],[Column5]]/Table15678910[[#This Row],[Column2]]*100</f>
        <v>0</v>
      </c>
      <c r="O15" t="e">
        <f>Table15678910[[#This Row],[Column102]]/Table15678910[[#This Row],[Column5]]*100</f>
        <v>#DIV/0!</v>
      </c>
      <c r="Q15">
        <v>104</v>
      </c>
      <c r="R15">
        <v>5</v>
      </c>
    </row>
    <row r="16" spans="4:18" ht="34" x14ac:dyDescent="0.2">
      <c r="D16" s="10" t="s">
        <v>84</v>
      </c>
      <c r="E16">
        <v>2011</v>
      </c>
      <c r="F16">
        <v>2.2999999999999998</v>
      </c>
      <c r="G16">
        <v>1235</v>
      </c>
      <c r="H16" s="15">
        <f>Table15678910[[#This Row],[Column102]]/Table15678910[[#This Row],[Column2]]*0.1</f>
        <v>53.695652173913054</v>
      </c>
      <c r="I16" s="15">
        <f>Table15678910[[#This Row],[Column102]]/Table15678910[[#This Row],[Column2]]*0.1</f>
        <v>53.695652173913054</v>
      </c>
      <c r="J16">
        <v>6</v>
      </c>
      <c r="M16">
        <f>Table15678910[[#This Row],[Column5]]/Table15678910[[#This Row],[Column2]]*100</f>
        <v>0</v>
      </c>
      <c r="O16" t="e">
        <f>Table15678910[[#This Row],[Column102]]/Table15678910[[#This Row],[Column5]]*100</f>
        <v>#DIV/0!</v>
      </c>
      <c r="Q16">
        <v>1235</v>
      </c>
      <c r="R16">
        <v>6</v>
      </c>
    </row>
    <row r="17" spans="4:18" x14ac:dyDescent="0.2">
      <c r="D17" s="4" t="s">
        <v>25</v>
      </c>
      <c r="E17">
        <v>2011</v>
      </c>
      <c r="F17">
        <v>1.6</v>
      </c>
      <c r="G17">
        <v>585</v>
      </c>
      <c r="H17" s="15">
        <f>Table15678910[[#This Row],[Column102]]/Table15678910[[#This Row],[Column2]]*0.1</f>
        <v>36.5625</v>
      </c>
      <c r="I17" s="15">
        <f>Table15678910[[#This Row],[Column102]]/Table15678910[[#This Row],[Column2]]*0.1</f>
        <v>36.5625</v>
      </c>
      <c r="J17">
        <v>9</v>
      </c>
      <c r="M17">
        <f>Table15678910[[#This Row],[Column5]]/Table15678910[[#This Row],[Column2]]*100</f>
        <v>0</v>
      </c>
      <c r="O17" t="e">
        <f>Table15678910[[#This Row],[Column102]]/Table15678910[[#This Row],[Column5]]*100</f>
        <v>#DIV/0!</v>
      </c>
      <c r="Q17">
        <v>585</v>
      </c>
      <c r="R17">
        <v>7</v>
      </c>
    </row>
    <row r="18" spans="4:18" x14ac:dyDescent="0.2">
      <c r="D18" s="7" t="s">
        <v>35</v>
      </c>
      <c r="E18">
        <v>2011</v>
      </c>
      <c r="F18">
        <v>1.4</v>
      </c>
      <c r="G18">
        <v>3141</v>
      </c>
      <c r="H18" s="15">
        <f>Table15678910[[#This Row],[Column102]]/Table15678910[[#This Row],[Column2]]*0.1</f>
        <v>224.35714285714289</v>
      </c>
      <c r="I18" s="15"/>
      <c r="J18">
        <v>1</v>
      </c>
      <c r="M18">
        <f>Table15678910[[#This Row],[Column5]]/Table15678910[[#This Row],[Column2]]*100</f>
        <v>0</v>
      </c>
      <c r="O18" t="e">
        <f>Table15678910[[#This Row],[Column102]]/Table15678910[[#This Row],[Column5]]*100</f>
        <v>#DIV/0!</v>
      </c>
      <c r="Q18">
        <v>3141</v>
      </c>
      <c r="R18">
        <v>8</v>
      </c>
    </row>
    <row r="19" spans="4:18" x14ac:dyDescent="0.2">
      <c r="D19" s="4" t="s">
        <v>26</v>
      </c>
      <c r="E19">
        <v>2011</v>
      </c>
      <c r="F19">
        <v>0.8</v>
      </c>
      <c r="G19">
        <v>313</v>
      </c>
      <c r="H19" s="15">
        <f>Table15678910[[#This Row],[Column102]]/Table15678910[[#This Row],[Column2]]*0.1</f>
        <v>39.125</v>
      </c>
      <c r="I19" s="15">
        <f>Table15678910[[#This Row],[Column102]]/Table15678910[[#This Row],[Column2]]*0.1</f>
        <v>39.125</v>
      </c>
      <c r="J19">
        <v>8</v>
      </c>
      <c r="M19">
        <f>Table15678910[[#This Row],[Column5]]/Table15678910[[#This Row],[Column2]]*100</f>
        <v>0</v>
      </c>
      <c r="O19" t="e">
        <f>Table15678910[[#This Row],[Column102]]/Table15678910[[#This Row],[Column5]]*100</f>
        <v>#DIV/0!</v>
      </c>
      <c r="Q19">
        <v>313</v>
      </c>
      <c r="R19">
        <v>9</v>
      </c>
    </row>
    <row r="20" spans="4:18" ht="34" x14ac:dyDescent="0.2">
      <c r="D20" s="10" t="s">
        <v>34</v>
      </c>
      <c r="E20" t="s">
        <v>112</v>
      </c>
      <c r="F20">
        <v>0.28999999999999998</v>
      </c>
      <c r="G20">
        <v>191</v>
      </c>
      <c r="H20" s="15">
        <f>Table15678910[[#This Row],[Column102]]/Table15678910[[#This Row],[Column2]]*0.1</f>
        <v>65.862068965517253</v>
      </c>
      <c r="I20" s="15">
        <f>Table15678910[[#This Row],[Column102]]/Table15678910[[#This Row],[Column2]]*0.1</f>
        <v>65.862068965517253</v>
      </c>
      <c r="J20">
        <v>4</v>
      </c>
      <c r="M20">
        <f>Table15678910[[#This Row],[Column5]]/Table15678910[[#This Row],[Column2]]*100</f>
        <v>0</v>
      </c>
      <c r="O20" t="e">
        <f>Table15678910[[#This Row],[Column102]]/Table15678910[[#This Row],[Column5]]*100</f>
        <v>#DIV/0!</v>
      </c>
      <c r="Q20">
        <v>191</v>
      </c>
      <c r="R20">
        <v>10</v>
      </c>
    </row>
    <row r="21" spans="4:18" x14ac:dyDescent="0.2">
      <c r="D21" s="4" t="s">
        <v>28</v>
      </c>
      <c r="E21">
        <v>2011</v>
      </c>
      <c r="F21">
        <v>0.65</v>
      </c>
      <c r="G21">
        <v>163</v>
      </c>
      <c r="H21" s="15">
        <f>Table15678910[[#This Row],[Column102]]/Table15678910[[#This Row],[Column2]]*0.1</f>
        <v>25.07692307692308</v>
      </c>
      <c r="I21" s="15">
        <f>Table15678910[[#This Row],[Column102]]/Table15678910[[#This Row],[Column2]]*0.1</f>
        <v>25.07692307692308</v>
      </c>
      <c r="J21">
        <v>10</v>
      </c>
      <c r="M21">
        <f>Table15678910[[#This Row],[Column5]]/Table15678910[[#This Row],[Column2]]*100</f>
        <v>0</v>
      </c>
      <c r="O21" t="e">
        <f>Table15678910[[#This Row],[Column102]]/Table15678910[[#This Row],[Column5]]*100</f>
        <v>#DIV/0!</v>
      </c>
      <c r="Q21">
        <v>163</v>
      </c>
      <c r="R21">
        <v>11</v>
      </c>
    </row>
    <row r="22" spans="4:18" x14ac:dyDescent="0.2">
      <c r="D22" s="7" t="s">
        <v>33</v>
      </c>
      <c r="E22">
        <v>2012</v>
      </c>
      <c r="F22">
        <v>0.94</v>
      </c>
      <c r="G22">
        <v>100</v>
      </c>
      <c r="H22" s="15">
        <f>Table15678910[[#This Row],[Column102]]/Table15678910[[#This Row],[Column2]]*0.1</f>
        <v>10.638297872340427</v>
      </c>
      <c r="I22" s="15"/>
      <c r="J22">
        <v>14</v>
      </c>
      <c r="M22">
        <f>Table15678910[[#This Row],[Column5]]/Table15678910[[#This Row],[Column2]]*100</f>
        <v>0</v>
      </c>
      <c r="O22" t="e">
        <f>Table15678910[[#This Row],[Column102]]/Table15678910[[#This Row],[Column5]]*100</f>
        <v>#DIV/0!</v>
      </c>
      <c r="Q22">
        <v>100</v>
      </c>
      <c r="R22">
        <v>12</v>
      </c>
    </row>
    <row r="23" spans="4:18" x14ac:dyDescent="0.2">
      <c r="D23" s="4" t="s">
        <v>31</v>
      </c>
      <c r="E23">
        <v>2011</v>
      </c>
      <c r="F23">
        <v>3.3</v>
      </c>
      <c r="G23">
        <v>6374</v>
      </c>
      <c r="H23" s="15">
        <f>Table15678910[[#This Row],[Column102]]/Table15678910[[#This Row],[Column2]]*0.1</f>
        <v>193.15151515151518</v>
      </c>
      <c r="I23" s="15">
        <f>Table15678910[[#This Row],[Column102]]/Table15678910[[#This Row],[Column2]]*0.1</f>
        <v>193.15151515151518</v>
      </c>
      <c r="J23">
        <v>2</v>
      </c>
      <c r="M23">
        <f>Table15678910[[#This Row],[Column5]]/Table15678910[[#This Row],[Column2]]*100</f>
        <v>0</v>
      </c>
      <c r="O23" t="e">
        <f>Table15678910[[#This Row],[Column102]]/Table15678910[[#This Row],[Column5]]*100</f>
        <v>#DIV/0!</v>
      </c>
      <c r="Q23">
        <v>6374</v>
      </c>
      <c r="R23">
        <v>13</v>
      </c>
    </row>
    <row r="24" spans="4:18" x14ac:dyDescent="0.2">
      <c r="D24" s="7" t="s">
        <v>30</v>
      </c>
      <c r="E24">
        <v>2011</v>
      </c>
      <c r="F24">
        <v>0.66</v>
      </c>
      <c r="G24">
        <v>126</v>
      </c>
      <c r="H24" s="15">
        <f>Table15678910[[#This Row],[Column102]]/Table15678910[[#This Row],[Column2]]*0.1</f>
        <v>19.09090909090909</v>
      </c>
      <c r="I24" s="15">
        <f>Table15678910[[#This Row],[Column102]]/Table15678910[[#This Row],[Column2]]*0.1</f>
        <v>19.09090909090909</v>
      </c>
      <c r="J24">
        <v>11</v>
      </c>
      <c r="M24">
        <f>Table15678910[[#This Row],[Column5]]/Table15678910[[#This Row],[Column2]]*100</f>
        <v>0</v>
      </c>
      <c r="O24" t="e">
        <f>Table15678910[[#This Row],[Column102]]/Table15678910[[#This Row],[Column5]]*100</f>
        <v>#DIV/0!</v>
      </c>
      <c r="Q24">
        <v>126</v>
      </c>
      <c r="R24">
        <v>14</v>
      </c>
    </row>
    <row r="25" spans="4:18" x14ac:dyDescent="0.2">
      <c r="D25" s="4" t="s">
        <v>37</v>
      </c>
      <c r="E25">
        <v>2011</v>
      </c>
      <c r="F25">
        <v>8</v>
      </c>
      <c r="G25">
        <v>1026</v>
      </c>
      <c r="H25" s="15">
        <f>Table15678910[[#This Row],[Column102]]/Table15678910[[#This Row],[Column2]]*0.1</f>
        <v>12.825000000000001</v>
      </c>
      <c r="I25" s="15">
        <f>Table15678910[[#This Row],[Column102]]/Table15678910[[#This Row],[Column2]]*0.1</f>
        <v>12.825000000000001</v>
      </c>
      <c r="J25">
        <v>13</v>
      </c>
      <c r="M25">
        <f>Table15678910[[#This Row],[Column5]]/Table15678910[[#This Row],[Column2]]*100</f>
        <v>0</v>
      </c>
      <c r="O25" t="e">
        <f>Table15678910[[#This Row],[Column102]]/Table15678910[[#This Row],[Column5]]*100</f>
        <v>#DIV/0!</v>
      </c>
      <c r="Q25">
        <v>1026</v>
      </c>
      <c r="R25">
        <v>15</v>
      </c>
    </row>
    <row r="26" spans="4:18" x14ac:dyDescent="0.2">
      <c r="H26" s="15"/>
      <c r="I26" s="15"/>
      <c r="M26" s="16" t="e">
        <f>Table15678910[[#This Row],[Column5]]/Table15678910[[#This Row],[Column2]]*100</f>
        <v>#DIV/0!</v>
      </c>
      <c r="O26" s="16" t="e">
        <f>Table15678910[[#This Row],[Column102]]/Table15678910[[#This Row],[Column5]]*100</f>
        <v>#DIV/0!</v>
      </c>
    </row>
    <row r="27" spans="4:18" x14ac:dyDescent="0.2">
      <c r="H27" s="15"/>
      <c r="I27" s="15"/>
      <c r="M27" s="16" t="e">
        <f>Table15678910[[#This Row],[Column5]]/Table15678910[[#This Row],[Column2]]*100</f>
        <v>#DIV/0!</v>
      </c>
      <c r="O27" s="16" t="e">
        <f>Table15678910[[#This Row],[Column102]]/Table15678910[[#This Row],[Column5]]*100</f>
        <v>#DIV/0!</v>
      </c>
    </row>
    <row r="28" spans="4:18" x14ac:dyDescent="0.2">
      <c r="H28" s="15"/>
      <c r="I28" s="15"/>
      <c r="M28" s="16" t="e">
        <f>Table15678910[[#This Row],[Column5]]/Table15678910[[#This Row],[Column2]]*100</f>
        <v>#DIV/0!</v>
      </c>
      <c r="O28" s="16" t="e">
        <f>Table15678910[[#This Row],[Column102]]/Table15678910[[#This Row],[Column5]]*100</f>
        <v>#DIV/0!</v>
      </c>
    </row>
    <row r="29" spans="4:18" ht="34" x14ac:dyDescent="0.2">
      <c r="D29" s="1" t="s">
        <v>172</v>
      </c>
      <c r="H29" s="15">
        <v>61</v>
      </c>
      <c r="I29" s="15">
        <v>51</v>
      </c>
      <c r="M29" s="16" t="e">
        <f>Table15678910[[#This Row],[Column5]]/Table15678910[[#This Row],[Column2]]*100</f>
        <v>#DIV/0!</v>
      </c>
      <c r="O29" s="16" t="e">
        <f>Table15678910[[#This Row],[Column102]]/Table15678910[[#This Row],[Column5]]*100</f>
        <v>#DIV/0!</v>
      </c>
    </row>
    <row r="30" spans="4:18" ht="34" x14ac:dyDescent="0.2">
      <c r="D30" s="1" t="s">
        <v>162</v>
      </c>
      <c r="H30" s="15">
        <f>H12/H29*100</f>
        <v>133.2099418297197</v>
      </c>
      <c r="I30" s="15">
        <f>H12/I29*100</f>
        <v>159.32953826691966</v>
      </c>
      <c r="M30" s="16" t="e">
        <f>Table15678910[[#This Row],[Column5]]/Table15678910[[#This Row],[Column2]]*100</f>
        <v>#DIV/0!</v>
      </c>
      <c r="O30" s="16" t="e">
        <f>Table15678910[[#This Row],[Column102]]/Table15678910[[#This Row],[Column5]]*100</f>
        <v>#DIV/0!</v>
      </c>
    </row>
    <row r="31" spans="4:18" x14ac:dyDescent="0.2">
      <c r="H31" s="15"/>
      <c r="I31" s="15"/>
      <c r="M31" s="16" t="e">
        <f>Table15678910[[#This Row],[Column5]]/Table15678910[[#This Row],[Column2]]*100</f>
        <v>#DIV/0!</v>
      </c>
      <c r="O31" s="16" t="e">
        <f>Table15678910[[#This Row],[Column102]]/Table15678910[[#This Row],[Column5]]*100</f>
        <v>#DIV/0!</v>
      </c>
    </row>
    <row r="32" spans="4:18" x14ac:dyDescent="0.2">
      <c r="H32" s="15"/>
      <c r="I32" s="15"/>
      <c r="M32" s="16" t="e">
        <f>Table15678910[[#This Row],[Column5]]/Table15678910[[#This Row],[Column2]]*100</f>
        <v>#DIV/0!</v>
      </c>
      <c r="O32" s="16" t="e">
        <f>Table15678910[[#This Row],[Column102]]/Table15678910[[#This Row],[Column5]]*100</f>
        <v>#DIV/0!</v>
      </c>
    </row>
    <row r="33" spans="5:18" x14ac:dyDescent="0.2">
      <c r="E33" s="17"/>
      <c r="F33" s="17"/>
      <c r="G33" s="17"/>
      <c r="H33" s="18"/>
      <c r="I33" s="18"/>
      <c r="J33" s="17"/>
      <c r="K33" s="17"/>
      <c r="L33" s="17"/>
      <c r="M33" s="19" t="e">
        <f>Table15678910[[#This Row],[Column5]]/Table15678910[[#This Row],[Column2]]*100</f>
        <v>#DIV/0!</v>
      </c>
      <c r="N33" s="17"/>
      <c r="O33" s="19" t="e">
        <f>Table15678910[[#This Row],[Column102]]/Table15678910[[#This Row],[Column5]]*100</f>
        <v>#DIV/0!</v>
      </c>
      <c r="P33" s="17"/>
      <c r="Q33" s="17"/>
      <c r="R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33"/>
  <sheetViews>
    <sheetView topLeftCell="A9" workbookViewId="0">
      <selection activeCell="B29" sqref="B29"/>
    </sheetView>
  </sheetViews>
  <sheetFormatPr baseColWidth="10" defaultRowHeight="16" x14ac:dyDescent="0.2"/>
  <sheetData>
    <row r="1" spans="1:19" x14ac:dyDescent="0.2">
      <c r="A1" s="4" t="e">
        <f>Table1[[#This Row],[Column10]]/Table1[[#This Row],[Column5]]*100</f>
        <v>#VALUE!</v>
      </c>
    </row>
    <row r="9" spans="1:19" ht="68" x14ac:dyDescent="0.2">
      <c r="E9" s="1" t="s">
        <v>10</v>
      </c>
      <c r="F9" s="1" t="s">
        <v>111</v>
      </c>
      <c r="G9" s="1" t="s">
        <v>109</v>
      </c>
      <c r="H9" s="1" t="s">
        <v>12</v>
      </c>
      <c r="I9" s="1" t="s">
        <v>166</v>
      </c>
      <c r="J9" s="1" t="s">
        <v>13</v>
      </c>
      <c r="K9" s="1" t="s">
        <v>168</v>
      </c>
      <c r="L9" s="1" t="s">
        <v>14</v>
      </c>
      <c r="M9" s="1" t="s">
        <v>10</v>
      </c>
      <c r="N9" s="1" t="s">
        <v>15</v>
      </c>
      <c r="O9" s="1" t="s">
        <v>16</v>
      </c>
      <c r="P9" s="1" t="s">
        <v>17</v>
      </c>
      <c r="Q9" s="1" t="s">
        <v>18</v>
      </c>
      <c r="R9" s="1" t="s">
        <v>109</v>
      </c>
      <c r="S9" s="1" t="s">
        <v>21</v>
      </c>
    </row>
    <row r="10" spans="1:19" x14ac:dyDescent="0.2">
      <c r="E10" t="s">
        <v>0</v>
      </c>
      <c r="F10" t="s">
        <v>1</v>
      </c>
      <c r="G10" t="s">
        <v>9</v>
      </c>
      <c r="H10" t="s">
        <v>2</v>
      </c>
      <c r="I10" t="s">
        <v>165</v>
      </c>
      <c r="J10" t="s">
        <v>3</v>
      </c>
      <c r="K10" t="s">
        <v>167</v>
      </c>
      <c r="L10" t="s">
        <v>4</v>
      </c>
      <c r="M10" t="s">
        <v>22</v>
      </c>
      <c r="N10" t="s">
        <v>5</v>
      </c>
      <c r="O10" t="s">
        <v>6</v>
      </c>
      <c r="P10" t="s">
        <v>7</v>
      </c>
      <c r="Q10" t="s">
        <v>8</v>
      </c>
      <c r="R10" t="s">
        <v>177</v>
      </c>
      <c r="S10" t="s">
        <v>20</v>
      </c>
    </row>
    <row r="11" spans="1:19" ht="34" x14ac:dyDescent="0.2">
      <c r="D11" s="5" t="s">
        <v>23</v>
      </c>
      <c r="E11">
        <v>2012</v>
      </c>
      <c r="F11">
        <v>3.2</v>
      </c>
      <c r="G11">
        <v>2444</v>
      </c>
      <c r="H11" s="15">
        <f>Table14[[#This Row],[Column102]]/Table14[[#This Row],[Column2]]*0.1</f>
        <v>76.375</v>
      </c>
      <c r="I11" s="15"/>
      <c r="J11">
        <v>4</v>
      </c>
      <c r="K11">
        <v>0.73699999999999999</v>
      </c>
      <c r="N11">
        <f>Table14[[#This Row],[Column5]]/Table14[[#This Row],[Column2]]*100</f>
        <v>0</v>
      </c>
      <c r="P11" t="e">
        <f>Table14[[#This Row],[Column102]]/Table14[[#This Row],[Column5]]*100</f>
        <v>#DIV/0!</v>
      </c>
      <c r="R11">
        <v>2444</v>
      </c>
      <c r="S11">
        <v>1</v>
      </c>
    </row>
    <row r="12" spans="1:19" x14ac:dyDescent="0.2">
      <c r="D12" s="2" t="s">
        <v>24</v>
      </c>
      <c r="E12" t="s">
        <v>113</v>
      </c>
      <c r="F12">
        <v>0.7</v>
      </c>
      <c r="G12">
        <v>246</v>
      </c>
      <c r="H12" s="15">
        <f>Table14[[#This Row],[Column102]]/Table14[[#This Row],[Column2]]*0.1</f>
        <v>35.142857142857146</v>
      </c>
      <c r="I12" s="15">
        <f>Table14[[#This Row],[Column102]]/Table14[[#This Row],[Column2]]*0.1</f>
        <v>35.142857142857146</v>
      </c>
      <c r="J12">
        <v>5</v>
      </c>
      <c r="K12">
        <v>0.70799999999999996</v>
      </c>
      <c r="N12">
        <f>Table14[[#This Row],[Column5]]/Table14[[#This Row],[Column2]]*100</f>
        <v>0</v>
      </c>
      <c r="P12" t="e">
        <f>Table14[[#This Row],[Column102]]/Table14[[#This Row],[Column5]]*100</f>
        <v>#DIV/0!</v>
      </c>
      <c r="R12">
        <v>246</v>
      </c>
      <c r="S12">
        <v>2</v>
      </c>
    </row>
    <row r="13" spans="1:19" x14ac:dyDescent="0.2">
      <c r="D13" s="3" t="s">
        <v>25</v>
      </c>
      <c r="E13">
        <v>2012</v>
      </c>
      <c r="F13">
        <v>2.06</v>
      </c>
      <c r="G13">
        <v>661</v>
      </c>
      <c r="H13" s="15">
        <f>Table14[[#This Row],[Column102]]/Table14[[#This Row],[Column2]]*0.1</f>
        <v>32.087378640776699</v>
      </c>
      <c r="I13" s="15">
        <f>Table14[[#This Row],[Column102]]/Table14[[#This Row],[Column2]]*0.1</f>
        <v>32.087378640776699</v>
      </c>
      <c r="J13">
        <v>6</v>
      </c>
      <c r="K13">
        <v>0.73299999999999998</v>
      </c>
      <c r="N13">
        <f>Table14[[#This Row],[Column5]]/Table14[[#This Row],[Column2]]*100</f>
        <v>0</v>
      </c>
      <c r="P13" t="e">
        <f>Table14[[#This Row],[Column102]]/Table14[[#This Row],[Column5]]*100</f>
        <v>#DIV/0!</v>
      </c>
      <c r="R13">
        <v>661</v>
      </c>
      <c r="S13">
        <v>3</v>
      </c>
    </row>
    <row r="14" spans="1:19" x14ac:dyDescent="0.2">
      <c r="D14" s="2" t="s">
        <v>26</v>
      </c>
      <c r="E14" t="s">
        <v>113</v>
      </c>
      <c r="F14">
        <v>1.7</v>
      </c>
      <c r="G14">
        <v>288</v>
      </c>
      <c r="H14" s="15">
        <f>Table14[[#This Row],[Column102]]/Table14[[#This Row],[Column2]]*0.1</f>
        <v>16.941176470588236</v>
      </c>
      <c r="I14" s="15">
        <f>Table14[[#This Row],[Column102]]/Table14[[#This Row],[Column2]]*0.1</f>
        <v>16.941176470588236</v>
      </c>
      <c r="J14">
        <v>11</v>
      </c>
      <c r="K14">
        <v>0.48899999999999999</v>
      </c>
      <c r="N14">
        <f>Table14[[#This Row],[Column5]]/Table14[[#This Row],[Column2]]*100</f>
        <v>0</v>
      </c>
      <c r="P14" t="e">
        <f>Table14[[#This Row],[Column102]]/Table14[[#This Row],[Column5]]*100</f>
        <v>#DIV/0!</v>
      </c>
      <c r="R14">
        <v>288</v>
      </c>
      <c r="S14">
        <v>4</v>
      </c>
    </row>
    <row r="15" spans="1:19" x14ac:dyDescent="0.2">
      <c r="D15" s="3" t="s">
        <v>27</v>
      </c>
      <c r="E15" t="s">
        <v>113</v>
      </c>
      <c r="F15">
        <v>0.37</v>
      </c>
      <c r="G15">
        <v>21</v>
      </c>
      <c r="H15" s="15">
        <f>Table14[[#This Row],[Column102]]/Table14[[#This Row],[Column2]]*0.1</f>
        <v>5.6756756756756763</v>
      </c>
      <c r="I15" s="15">
        <f>Table14[[#This Row],[Column102]]/Table14[[#This Row],[Column2]]*0.1</f>
        <v>5.6756756756756763</v>
      </c>
      <c r="J15">
        <v>14</v>
      </c>
      <c r="K15">
        <v>0.84499999999999997</v>
      </c>
      <c r="N15">
        <f>Table14[[#This Row],[Column5]]/Table14[[#This Row],[Column2]]*100</f>
        <v>0</v>
      </c>
      <c r="P15" t="e">
        <f>Table14[[#This Row],[Column102]]/Table14[[#This Row],[Column5]]*100</f>
        <v>#DIV/0!</v>
      </c>
      <c r="R15">
        <v>21</v>
      </c>
      <c r="S15">
        <v>5</v>
      </c>
    </row>
    <row r="16" spans="1:19" x14ac:dyDescent="0.2">
      <c r="D16" s="2" t="s">
        <v>28</v>
      </c>
      <c r="E16" t="s">
        <v>113</v>
      </c>
      <c r="F16">
        <v>0.79</v>
      </c>
      <c r="G16">
        <v>168</v>
      </c>
      <c r="H16" s="15">
        <f>Table14[[#This Row],[Column102]]/Table14[[#This Row],[Column2]]*0.1</f>
        <v>21.265822784810126</v>
      </c>
      <c r="I16" s="15">
        <f>Table14[[#This Row],[Column102]]/Table14[[#This Row],[Column2]]*0.1</f>
        <v>21.265822784810126</v>
      </c>
      <c r="J16">
        <v>9</v>
      </c>
      <c r="K16">
        <v>0.72899999999999998</v>
      </c>
      <c r="N16">
        <f>Table14[[#This Row],[Column5]]/Table14[[#This Row],[Column2]]*100</f>
        <v>0</v>
      </c>
      <c r="P16" t="e">
        <f>Table14[[#This Row],[Column102]]/Table14[[#This Row],[Column5]]*100</f>
        <v>#DIV/0!</v>
      </c>
      <c r="R16">
        <v>168</v>
      </c>
      <c r="S16">
        <v>6</v>
      </c>
    </row>
    <row r="17" spans="4:19" x14ac:dyDescent="0.2">
      <c r="D17" s="3" t="s">
        <v>29</v>
      </c>
      <c r="E17">
        <v>2012</v>
      </c>
      <c r="F17">
        <v>0.22</v>
      </c>
      <c r="G17">
        <v>41</v>
      </c>
      <c r="H17" s="15">
        <f>Table14[[#This Row],[Column102]]/Table14[[#This Row],[Column2]]*0.1</f>
        <v>18.636363636363637</v>
      </c>
      <c r="I17" s="15">
        <f>Table14[[#This Row],[Column102]]/Table14[[#This Row],[Column2]]*0.1</f>
        <v>18.636363636363637</v>
      </c>
      <c r="J17">
        <v>10</v>
      </c>
      <c r="K17">
        <v>0.82099999999999995</v>
      </c>
      <c r="N17">
        <f>Table14[[#This Row],[Column5]]/Table14[[#This Row],[Column2]]*100</f>
        <v>0</v>
      </c>
      <c r="P17" t="e">
        <f>Table14[[#This Row],[Column102]]/Table14[[#This Row],[Column5]]*100</f>
        <v>#DIV/0!</v>
      </c>
      <c r="R17">
        <v>41</v>
      </c>
      <c r="S17">
        <v>7</v>
      </c>
    </row>
    <row r="18" spans="4:19" x14ac:dyDescent="0.2">
      <c r="D18" s="2" t="s">
        <v>30</v>
      </c>
      <c r="E18" t="s">
        <v>113</v>
      </c>
      <c r="F18">
        <v>0.6</v>
      </c>
      <c r="G18">
        <v>136</v>
      </c>
      <c r="H18" s="15">
        <f>Table14[[#This Row],[Column102]]/Table14[[#This Row],[Column2]]*0.1</f>
        <v>22.666666666666671</v>
      </c>
      <c r="I18" s="15">
        <f>Table14[[#This Row],[Column102]]/Table14[[#This Row],[Column2]]*0.1</f>
        <v>22.666666666666671</v>
      </c>
      <c r="J18">
        <v>8</v>
      </c>
      <c r="K18">
        <v>0.61899999999999999</v>
      </c>
      <c r="N18">
        <f>Table14[[#This Row],[Column5]]/Table14[[#This Row],[Column2]]*100</f>
        <v>0</v>
      </c>
      <c r="P18" t="e">
        <f>Table14[[#This Row],[Column102]]/Table14[[#This Row],[Column5]]*100</f>
        <v>#DIV/0!</v>
      </c>
      <c r="R18">
        <v>136</v>
      </c>
      <c r="S18">
        <v>8</v>
      </c>
    </row>
    <row r="19" spans="4:19" x14ac:dyDescent="0.2">
      <c r="D19" s="3" t="s">
        <v>31</v>
      </c>
      <c r="E19" t="s">
        <v>113</v>
      </c>
      <c r="F19">
        <v>3.9</v>
      </c>
      <c r="G19">
        <v>6711</v>
      </c>
      <c r="H19" s="15">
        <f>Table14[[#This Row],[Column102]]/Table14[[#This Row],[Column2]]*0.1</f>
        <v>172.07692307692309</v>
      </c>
      <c r="I19" s="15"/>
      <c r="J19">
        <v>1</v>
      </c>
      <c r="K19">
        <v>0.35199999999999998</v>
      </c>
      <c r="N19">
        <f>Table14[[#This Row],[Column5]]/Table14[[#This Row],[Column2]]*100</f>
        <v>0</v>
      </c>
      <c r="P19" t="e">
        <f>Table14[[#This Row],[Column102]]/Table14[[#This Row],[Column5]]*100</f>
        <v>#DIV/0!</v>
      </c>
      <c r="R19">
        <v>6711</v>
      </c>
      <c r="S19">
        <v>9</v>
      </c>
    </row>
    <row r="20" spans="4:19" x14ac:dyDescent="0.2">
      <c r="D20" s="2" t="s">
        <v>32</v>
      </c>
      <c r="E20" t="s">
        <v>113</v>
      </c>
      <c r="F20">
        <v>0.56999999999999995</v>
      </c>
      <c r="G20">
        <v>760</v>
      </c>
      <c r="H20" s="15">
        <f>Table14[[#This Row],[Column102]]/Table14[[#This Row],[Column2]]*0.1</f>
        <v>133.33333333333334</v>
      </c>
      <c r="I20" s="15">
        <f>Table14[[#This Row],[Column102]]/Table14[[#This Row],[Column2]]*0.1</f>
        <v>133.33333333333334</v>
      </c>
      <c r="J20">
        <v>2</v>
      </c>
      <c r="K20">
        <v>0.442</v>
      </c>
      <c r="N20">
        <f>Table14[[#This Row],[Column5]]/Table14[[#This Row],[Column2]]*100</f>
        <v>0</v>
      </c>
      <c r="P20" t="e">
        <f>Table14[[#This Row],[Column102]]/Table14[[#This Row],[Column5]]*100</f>
        <v>#DIV/0!</v>
      </c>
      <c r="R20">
        <v>760</v>
      </c>
      <c r="S20">
        <v>10</v>
      </c>
    </row>
    <row r="21" spans="4:19" x14ac:dyDescent="0.2">
      <c r="D21" s="3" t="s">
        <v>33</v>
      </c>
      <c r="E21" t="s">
        <v>114</v>
      </c>
      <c r="F21">
        <v>0.94</v>
      </c>
      <c r="G21">
        <v>89</v>
      </c>
      <c r="H21" s="15">
        <f>Table14[[#This Row],[Column102]]/Table14[[#This Row],[Column2]]*0.1</f>
        <v>9.4680851063829792</v>
      </c>
      <c r="I21" s="15">
        <f>Table14[[#This Row],[Column102]]/Table14[[#This Row],[Column2]]*0.1</f>
        <v>9.4680851063829792</v>
      </c>
      <c r="J21">
        <v>13</v>
      </c>
      <c r="K21">
        <v>0.76900000000000002</v>
      </c>
      <c r="N21">
        <f>Table14[[#This Row],[Column5]]/Table14[[#This Row],[Column2]]*100</f>
        <v>0</v>
      </c>
      <c r="P21" t="e">
        <f>Table14[[#This Row],[Column102]]/Table14[[#This Row],[Column5]]*100</f>
        <v>#DIV/0!</v>
      </c>
      <c r="R21">
        <v>89</v>
      </c>
      <c r="S21">
        <v>11</v>
      </c>
    </row>
    <row r="22" spans="4:19" ht="34" x14ac:dyDescent="0.2">
      <c r="D22" s="6" t="s">
        <v>34</v>
      </c>
      <c r="E22" t="s">
        <v>115</v>
      </c>
      <c r="F22">
        <v>0.28999999999999998</v>
      </c>
      <c r="G22">
        <v>15</v>
      </c>
      <c r="H22" s="15">
        <f>Table14[[#This Row],[Column102]]/Table14[[#This Row],[Column2]]*0.1</f>
        <v>5.1724137931034484</v>
      </c>
      <c r="I22" s="15"/>
      <c r="J22">
        <v>15</v>
      </c>
      <c r="K22">
        <v>0.86799999999999999</v>
      </c>
      <c r="N22">
        <f>Table14[[#This Row],[Column5]]/Table14[[#This Row],[Column2]]*100</f>
        <v>0</v>
      </c>
      <c r="P22" t="e">
        <f>Table14[[#This Row],[Column102]]/Table14[[#This Row],[Column5]]*100</f>
        <v>#DIV/0!</v>
      </c>
      <c r="R22">
        <v>15</v>
      </c>
      <c r="S22">
        <v>12</v>
      </c>
    </row>
    <row r="23" spans="4:19" x14ac:dyDescent="0.2">
      <c r="D23" s="3" t="s">
        <v>35</v>
      </c>
      <c r="E23" t="s">
        <v>113</v>
      </c>
      <c r="F23">
        <v>1.4</v>
      </c>
      <c r="G23">
        <v>1712</v>
      </c>
      <c r="H23" s="15">
        <f>Table14[[#This Row],[Column102]]/Table14[[#This Row],[Column2]]*0.1</f>
        <v>122.28571428571429</v>
      </c>
      <c r="I23" s="15">
        <f>Table14[[#This Row],[Column102]]/Table14[[#This Row],[Column2]]*0.1</f>
        <v>122.28571428571429</v>
      </c>
      <c r="J23">
        <v>3</v>
      </c>
      <c r="K23">
        <v>0.53200000000000003</v>
      </c>
      <c r="N23">
        <f>Table14[[#This Row],[Column5]]/Table14[[#This Row],[Column2]]*100</f>
        <v>0</v>
      </c>
      <c r="P23" t="e">
        <f>Table14[[#This Row],[Column102]]/Table14[[#This Row],[Column5]]*100</f>
        <v>#DIV/0!</v>
      </c>
      <c r="R23">
        <v>1712</v>
      </c>
      <c r="S23">
        <v>13</v>
      </c>
    </row>
    <row r="24" spans="4:19" x14ac:dyDescent="0.2">
      <c r="D24" s="2" t="s">
        <v>36</v>
      </c>
      <c r="E24" t="s">
        <v>113</v>
      </c>
      <c r="F24">
        <v>0.5</v>
      </c>
      <c r="G24">
        <v>140</v>
      </c>
      <c r="H24" s="15">
        <f>Table14[[#This Row],[Column102]]/Table14[[#This Row],[Column2]]*0.1</f>
        <v>28</v>
      </c>
      <c r="I24" s="15">
        <f>Table14[[#This Row],[Column102]]/Table14[[#This Row],[Column2]]*0.1</f>
        <v>28</v>
      </c>
      <c r="J24">
        <v>7</v>
      </c>
      <c r="K24">
        <v>0.52</v>
      </c>
      <c r="N24">
        <f>Table14[[#This Row],[Column5]]/Table14[[#This Row],[Column2]]*100</f>
        <v>0</v>
      </c>
      <c r="P24" t="e">
        <f>Table14[[#This Row],[Column102]]/Table14[[#This Row],[Column5]]*100</f>
        <v>#DIV/0!</v>
      </c>
      <c r="R24">
        <v>140</v>
      </c>
      <c r="S24">
        <v>14</v>
      </c>
    </row>
    <row r="25" spans="4:19" x14ac:dyDescent="0.2">
      <c r="D25" s="3" t="s">
        <v>37</v>
      </c>
      <c r="E25" t="s">
        <v>113</v>
      </c>
      <c r="F25">
        <v>9.9</v>
      </c>
      <c r="G25">
        <v>978</v>
      </c>
      <c r="H25" s="15">
        <f>Table14[[#This Row],[Column102]]/Table14[[#This Row],[Column2]]*0.1</f>
        <v>9.8787878787878789</v>
      </c>
      <c r="I25" s="15">
        <f>Table14[[#This Row],[Column102]]/Table14[[#This Row],[Column2]]*0.1</f>
        <v>9.8787878787878789</v>
      </c>
      <c r="J25">
        <v>12</v>
      </c>
      <c r="K25">
        <v>0.77</v>
      </c>
      <c r="N25">
        <f>Table14[[#This Row],[Column5]]/Table14[[#This Row],[Column2]]*100</f>
        <v>0</v>
      </c>
      <c r="P25" t="e">
        <f>Table14[[#This Row],[Column102]]/Table14[[#This Row],[Column5]]*100</f>
        <v>#DIV/0!</v>
      </c>
      <c r="R25">
        <v>978</v>
      </c>
      <c r="S25">
        <v>15</v>
      </c>
    </row>
    <row r="26" spans="4:19" x14ac:dyDescent="0.2">
      <c r="H26" s="15"/>
      <c r="I26" s="15"/>
      <c r="N26" s="16" t="e">
        <f>Table14[[#This Row],[Column5]]/Table14[[#This Row],[Column2]]*100</f>
        <v>#DIV/0!</v>
      </c>
      <c r="P26" s="16" t="e">
        <f>Table14[[#This Row],[Column102]]/Table14[[#This Row],[Column5]]*100</f>
        <v>#DIV/0!</v>
      </c>
    </row>
    <row r="27" spans="4:19" x14ac:dyDescent="0.2">
      <c r="H27" s="15"/>
      <c r="I27" s="15"/>
      <c r="N27" s="16" t="e">
        <f>Table14[[#This Row],[Column5]]/Table14[[#This Row],[Column2]]*100</f>
        <v>#DIV/0!</v>
      </c>
      <c r="P27" s="16" t="e">
        <f>Table14[[#This Row],[Column102]]/Table14[[#This Row],[Column5]]*100</f>
        <v>#DIV/0!</v>
      </c>
    </row>
    <row r="28" spans="4:19" x14ac:dyDescent="0.2">
      <c r="H28" s="15"/>
      <c r="I28" s="15"/>
      <c r="N28" s="16" t="e">
        <f>Table14[[#This Row],[Column5]]/Table14[[#This Row],[Column2]]*100</f>
        <v>#DIV/0!</v>
      </c>
      <c r="P28" s="16" t="e">
        <f>Table14[[#This Row],[Column102]]/Table14[[#This Row],[Column5]]*100</f>
        <v>#DIV/0!</v>
      </c>
    </row>
    <row r="29" spans="4:19" ht="34" x14ac:dyDescent="0.2">
      <c r="D29" s="1" t="s">
        <v>172</v>
      </c>
      <c r="H29" s="15">
        <v>45</v>
      </c>
      <c r="I29" s="15">
        <v>38</v>
      </c>
      <c r="K29" s="22">
        <f>AVERAGE(K12:K25)</f>
        <v>0.65692857142857142</v>
      </c>
      <c r="N29" s="16" t="e">
        <f>Table14[[#This Row],[Column5]]/Table14[[#This Row],[Column2]]*100</f>
        <v>#DIV/0!</v>
      </c>
      <c r="P29" s="16" t="e">
        <f>Table14[[#This Row],[Column102]]/Table14[[#This Row],[Column5]]*100</f>
        <v>#DIV/0!</v>
      </c>
    </row>
    <row r="30" spans="4:19" ht="34" x14ac:dyDescent="0.2">
      <c r="D30" s="1" t="s">
        <v>162</v>
      </c>
      <c r="H30" s="15">
        <f>H11/H29*100</f>
        <v>169.72222222222223</v>
      </c>
      <c r="I30" s="15">
        <f>H11/I29*100</f>
        <v>200.98684210526315</v>
      </c>
      <c r="K30" s="23"/>
      <c r="N30" s="16" t="e">
        <f>Table14[[#This Row],[Column5]]/Table14[[#This Row],[Column2]]*100</f>
        <v>#DIV/0!</v>
      </c>
      <c r="P30" s="16" t="e">
        <f>Table14[[#This Row],[Column102]]/Table14[[#This Row],[Column5]]*100</f>
        <v>#DIV/0!</v>
      </c>
    </row>
    <row r="31" spans="4:19" x14ac:dyDescent="0.2">
      <c r="H31" s="15"/>
      <c r="I31" s="15"/>
      <c r="N31" s="16" t="e">
        <f>Table14[[#This Row],[Column5]]/Table14[[#This Row],[Column2]]*100</f>
        <v>#DIV/0!</v>
      </c>
      <c r="P31" s="16" t="e">
        <f>Table14[[#This Row],[Column102]]/Table14[[#This Row],[Column5]]*100</f>
        <v>#DIV/0!</v>
      </c>
    </row>
    <row r="32" spans="4:19" x14ac:dyDescent="0.2">
      <c r="H32" s="15"/>
      <c r="I32" s="15"/>
      <c r="N32" s="16" t="e">
        <f>Table14[[#This Row],[Column5]]/Table14[[#This Row],[Column2]]*100</f>
        <v>#DIV/0!</v>
      </c>
      <c r="P32" s="16" t="e">
        <f>Table14[[#This Row],[Column102]]/Table14[[#This Row],[Column5]]*100</f>
        <v>#DIV/0!</v>
      </c>
    </row>
    <row r="33" spans="5:19" x14ac:dyDescent="0.2">
      <c r="E33" s="17"/>
      <c r="F33" s="17"/>
      <c r="G33" s="17"/>
      <c r="H33" s="18"/>
      <c r="I33" s="18"/>
      <c r="J33" s="17"/>
      <c r="K33" s="17"/>
      <c r="L33" s="17"/>
      <c r="M33" s="17"/>
      <c r="N33" s="19" t="e">
        <f>Table14[[#This Row],[Column5]]/Table14[[#This Row],[Column2]]*100</f>
        <v>#DIV/0!</v>
      </c>
      <c r="O33" s="17"/>
      <c r="P33" s="19" t="e">
        <f>Table14[[#This Row],[Column102]]/Table14[[#This Row],[Column5]]*100</f>
        <v>#DIV/0!</v>
      </c>
      <c r="Q33" s="17"/>
      <c r="R33" s="17"/>
      <c r="S33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C8:V30"/>
  <sheetViews>
    <sheetView topLeftCell="D2" workbookViewId="0">
      <selection activeCell="H2" sqref="H1:H1048576"/>
    </sheetView>
  </sheetViews>
  <sheetFormatPr baseColWidth="10" defaultRowHeight="16" x14ac:dyDescent="0.2"/>
  <cols>
    <col min="5" max="16" width="11" customWidth="1"/>
    <col min="17" max="17" width="12" customWidth="1"/>
  </cols>
  <sheetData>
    <row r="8" spans="3:22" ht="68" x14ac:dyDescent="0.2">
      <c r="E8" s="1" t="s">
        <v>10</v>
      </c>
      <c r="F8" s="1" t="s">
        <v>217</v>
      </c>
      <c r="G8" s="1" t="s">
        <v>216</v>
      </c>
      <c r="H8" s="1" t="s">
        <v>12</v>
      </c>
      <c r="I8" s="1" t="s">
        <v>175</v>
      </c>
      <c r="J8" s="1" t="s">
        <v>13</v>
      </c>
      <c r="K8" s="1" t="s">
        <v>14</v>
      </c>
      <c r="L8" s="1" t="s">
        <v>10</v>
      </c>
      <c r="M8" s="1" t="s">
        <v>15</v>
      </c>
      <c r="N8" s="1" t="s">
        <v>16</v>
      </c>
      <c r="O8" s="1" t="s">
        <v>17</v>
      </c>
      <c r="P8" s="1" t="s">
        <v>18</v>
      </c>
      <c r="Q8" s="1" t="s">
        <v>216</v>
      </c>
      <c r="R8" s="1" t="s">
        <v>21</v>
      </c>
    </row>
    <row r="9" spans="3:22" x14ac:dyDescent="0.2">
      <c r="E9" t="s">
        <v>0</v>
      </c>
      <c r="F9" t="s">
        <v>1</v>
      </c>
      <c r="G9" t="s">
        <v>9</v>
      </c>
      <c r="H9" t="s">
        <v>2</v>
      </c>
      <c r="I9" t="s">
        <v>165</v>
      </c>
      <c r="J9" t="s">
        <v>3</v>
      </c>
      <c r="K9" t="s">
        <v>4</v>
      </c>
      <c r="L9" t="s">
        <v>22</v>
      </c>
      <c r="M9" t="s">
        <v>5</v>
      </c>
      <c r="N9" t="s">
        <v>6</v>
      </c>
      <c r="O9" t="s">
        <v>7</v>
      </c>
      <c r="P9" t="s">
        <v>8</v>
      </c>
      <c r="Q9" t="s">
        <v>177</v>
      </c>
      <c r="R9" t="s">
        <v>20</v>
      </c>
    </row>
    <row r="10" spans="3:22" ht="34" x14ac:dyDescent="0.2">
      <c r="D10" s="9" t="s">
        <v>89</v>
      </c>
      <c r="E10">
        <v>2012</v>
      </c>
      <c r="F10">
        <v>3.2</v>
      </c>
      <c r="G10">
        <v>2126</v>
      </c>
      <c r="H10" s="15">
        <f>Table123[[#This Row],[Column102]]/Table123[[#This Row],[Column2]]*0.1</f>
        <v>66.4375</v>
      </c>
      <c r="I10" s="15"/>
      <c r="J10">
        <v>3</v>
      </c>
      <c r="M10">
        <f>Table123[[#This Row],[Column5]]/Table123[[#This Row],[Column2]]*100</f>
        <v>0</v>
      </c>
      <c r="O10" t="e">
        <f>Table123[[#This Row],[Column102]]/Table123[[#This Row],[Column5]]*100</f>
        <v>#DIV/0!</v>
      </c>
      <c r="Q10">
        <v>2126</v>
      </c>
      <c r="R10">
        <v>1</v>
      </c>
    </row>
    <row r="11" spans="3:22" ht="34" x14ac:dyDescent="0.2">
      <c r="D11" s="7" t="s">
        <v>25</v>
      </c>
      <c r="E11">
        <v>2012</v>
      </c>
      <c r="F11">
        <v>2.1</v>
      </c>
      <c r="G11">
        <v>566</v>
      </c>
      <c r="H11" s="15">
        <f>Table123[[#This Row],[Column102]]/Table123[[#This Row],[Column2]]*0.1</f>
        <v>26.952380952380953</v>
      </c>
      <c r="I11" s="15">
        <f>Table123[[#This Row],[Column102]]/Table123[[#This Row],[Column2]]*0.1</f>
        <v>26.952380952380953</v>
      </c>
      <c r="J11">
        <v>4</v>
      </c>
      <c r="M11">
        <f>Table123[[#This Row],[Column5]]/Table123[[#This Row],[Column2]]*100</f>
        <v>0</v>
      </c>
      <c r="O11" t="e">
        <f>Table123[[#This Row],[Column102]]/Table123[[#This Row],[Column5]]*100</f>
        <v>#DIV/0!</v>
      </c>
      <c r="Q11">
        <v>566</v>
      </c>
      <c r="R11">
        <v>2</v>
      </c>
      <c r="U11" s="9" t="s">
        <v>89</v>
      </c>
      <c r="V11" s="7">
        <v>3</v>
      </c>
    </row>
    <row r="12" spans="3:22" x14ac:dyDescent="0.2">
      <c r="C12">
        <v>0</v>
      </c>
      <c r="D12" s="4" t="s">
        <v>26</v>
      </c>
      <c r="E12" s="31">
        <v>2012</v>
      </c>
      <c r="F12">
        <v>1.7</v>
      </c>
      <c r="G12">
        <v>281</v>
      </c>
      <c r="H12" s="15">
        <f>Table123[[#This Row],[Column102]]/Table123[[#This Row],[Column2]]*0.1</f>
        <v>16.529411764705884</v>
      </c>
      <c r="I12" s="15">
        <f>Table123[[#This Row],[Column102]]/Table123[[#This Row],[Column2]]*0.1</f>
        <v>16.529411764705884</v>
      </c>
      <c r="J12">
        <v>7</v>
      </c>
      <c r="M12">
        <f>Table123[[#This Row],[Column5]]/Table123[[#This Row],[Column2]]*100</f>
        <v>0</v>
      </c>
      <c r="O12" t="e">
        <f>Table123[[#This Row],[Column102]]/Table123[[#This Row],[Column5]]*100</f>
        <v>#DIV/0!</v>
      </c>
      <c r="Q12">
        <v>281</v>
      </c>
      <c r="R12">
        <v>3</v>
      </c>
      <c r="U12" s="7" t="s">
        <v>25</v>
      </c>
      <c r="V12" s="4">
        <v>4</v>
      </c>
    </row>
    <row r="13" spans="3:22" x14ac:dyDescent="0.2">
      <c r="D13" s="7" t="s">
        <v>31</v>
      </c>
      <c r="E13">
        <v>2012</v>
      </c>
      <c r="F13">
        <v>3.9</v>
      </c>
      <c r="G13">
        <v>7532</v>
      </c>
      <c r="H13" s="15">
        <f>Table123[[#This Row],[Column102]]/Table123[[#This Row],[Column2]]*0.1</f>
        <v>193.12820512820514</v>
      </c>
      <c r="I13" s="15"/>
      <c r="J13">
        <v>1</v>
      </c>
      <c r="M13">
        <f>Table123[[#This Row],[Column5]]/Table123[[#This Row],[Column2]]*100</f>
        <v>0</v>
      </c>
      <c r="O13" t="e">
        <f>Table123[[#This Row],[Column102]]/Table123[[#This Row],[Column5]]*100</f>
        <v>#DIV/0!</v>
      </c>
      <c r="Q13">
        <v>7532</v>
      </c>
      <c r="R13">
        <v>4</v>
      </c>
      <c r="U13" s="4" t="s">
        <v>26</v>
      </c>
      <c r="V13" s="7">
        <v>7</v>
      </c>
    </row>
    <row r="14" spans="3:22" x14ac:dyDescent="0.2">
      <c r="D14" s="4" t="s">
        <v>37</v>
      </c>
      <c r="E14">
        <v>2012</v>
      </c>
      <c r="F14">
        <v>9.9</v>
      </c>
      <c r="G14">
        <v>1458</v>
      </c>
      <c r="H14" s="15">
        <f>Table123[[#This Row],[Column102]]/Table123[[#This Row],[Column2]]*0.1</f>
        <v>14.727272727272728</v>
      </c>
      <c r="I14" s="15">
        <f>Table123[[#This Row],[Column102]]/Table123[[#This Row],[Column2]]*0.1</f>
        <v>14.727272727272728</v>
      </c>
      <c r="J14">
        <v>8</v>
      </c>
      <c r="M14">
        <f>Table123[[#This Row],[Column5]]/Table123[[#This Row],[Column2]]*100</f>
        <v>0</v>
      </c>
      <c r="O14" t="e">
        <f>Table123[[#This Row],[Column102]]/Table123[[#This Row],[Column5]]*100</f>
        <v>#DIV/0!</v>
      </c>
      <c r="Q14">
        <v>1458</v>
      </c>
      <c r="R14">
        <v>5</v>
      </c>
      <c r="U14" s="7" t="s">
        <v>31</v>
      </c>
      <c r="V14" s="4">
        <v>1</v>
      </c>
    </row>
    <row r="15" spans="3:22" x14ac:dyDescent="0.2">
      <c r="D15" s="7" t="s">
        <v>212</v>
      </c>
      <c r="E15">
        <v>2013</v>
      </c>
      <c r="F15">
        <v>1.6</v>
      </c>
      <c r="G15">
        <v>100</v>
      </c>
      <c r="H15" s="15">
        <f>Table123[[#This Row],[Column102]]/Table123[[#This Row],[Column2]]*0.1</f>
        <v>6.25</v>
      </c>
      <c r="I15" s="15">
        <f>Table123[[#This Row],[Column102]]/Table123[[#This Row],[Column2]]*0.1</f>
        <v>6.25</v>
      </c>
      <c r="J15">
        <v>11</v>
      </c>
      <c r="M15">
        <f>Table123[[#This Row],[Column5]]/Table123[[#This Row],[Column2]]*100</f>
        <v>0</v>
      </c>
      <c r="O15" t="e">
        <f>Table123[[#This Row],[Column102]]/Table123[[#This Row],[Column5]]*100</f>
        <v>#DIV/0!</v>
      </c>
      <c r="Q15">
        <v>100</v>
      </c>
      <c r="R15">
        <v>6</v>
      </c>
      <c r="U15" s="4" t="s">
        <v>37</v>
      </c>
      <c r="V15" s="7">
        <v>8</v>
      </c>
    </row>
    <row r="16" spans="3:22" x14ac:dyDescent="0.2">
      <c r="D16" s="4" t="s">
        <v>63</v>
      </c>
      <c r="E16">
        <v>2012</v>
      </c>
      <c r="F16">
        <v>12.6</v>
      </c>
      <c r="G16">
        <v>690</v>
      </c>
      <c r="H16" s="15">
        <f>Table123[[#This Row],[Column102]]/Table123[[#This Row],[Column2]]*0.1</f>
        <v>5.4761904761904772</v>
      </c>
      <c r="I16" s="15"/>
      <c r="J16">
        <v>14</v>
      </c>
      <c r="M16">
        <f>Table123[[#This Row],[Column5]]/Table123[[#This Row],[Column2]]*100</f>
        <v>0</v>
      </c>
      <c r="O16" t="e">
        <f>Table123[[#This Row],[Column102]]/Table123[[#This Row],[Column5]]*100</f>
        <v>#DIV/0!</v>
      </c>
      <c r="Q16">
        <v>690</v>
      </c>
      <c r="R16">
        <v>7</v>
      </c>
      <c r="U16" s="7" t="s">
        <v>212</v>
      </c>
      <c r="V16" s="4">
        <v>11</v>
      </c>
    </row>
    <row r="17" spans="4:22" x14ac:dyDescent="0.2">
      <c r="D17" s="7" t="s">
        <v>53</v>
      </c>
      <c r="E17">
        <v>2012</v>
      </c>
      <c r="F17">
        <v>4.9000000000000004</v>
      </c>
      <c r="G17">
        <v>449</v>
      </c>
      <c r="H17" s="15">
        <f>Table123[[#This Row],[Column102]]/Table123[[#This Row],[Column2]]*0.1</f>
        <v>9.1632653061224492</v>
      </c>
      <c r="I17" s="15">
        <f>Table123[[#This Row],[Column102]]/Table123[[#This Row],[Column2]]*0.1</f>
        <v>9.1632653061224492</v>
      </c>
      <c r="J17">
        <v>9</v>
      </c>
      <c r="M17">
        <f>Table123[[#This Row],[Column5]]/Table123[[#This Row],[Column2]]*100</f>
        <v>0</v>
      </c>
      <c r="O17" t="e">
        <f>Table123[[#This Row],[Column102]]/Table123[[#This Row],[Column5]]*100</f>
        <v>#DIV/0!</v>
      </c>
      <c r="Q17">
        <v>449</v>
      </c>
      <c r="R17">
        <v>8</v>
      </c>
      <c r="U17" s="4" t="s">
        <v>63</v>
      </c>
      <c r="V17" s="7">
        <v>14</v>
      </c>
    </row>
    <row r="18" spans="4:22" x14ac:dyDescent="0.2">
      <c r="D18" s="4" t="s">
        <v>81</v>
      </c>
      <c r="E18">
        <v>2012</v>
      </c>
      <c r="F18">
        <v>17.7</v>
      </c>
      <c r="G18">
        <v>1479</v>
      </c>
      <c r="H18" s="15">
        <f>Table123[[#This Row],[Column102]]/Table123[[#This Row],[Column2]]*0.1</f>
        <v>8.3559322033898322</v>
      </c>
      <c r="I18" s="15">
        <f>Table123[[#This Row],[Column102]]/Table123[[#This Row],[Column2]]*0.1</f>
        <v>8.3559322033898322</v>
      </c>
      <c r="J18">
        <v>10</v>
      </c>
      <c r="M18">
        <f>Table123[[#This Row],[Column5]]/Table123[[#This Row],[Column2]]*100</f>
        <v>0</v>
      </c>
      <c r="O18" t="e">
        <f>Table123[[#This Row],[Column102]]/Table123[[#This Row],[Column5]]*100</f>
        <v>#DIV/0!</v>
      </c>
      <c r="Q18">
        <v>1479</v>
      </c>
      <c r="R18">
        <v>9</v>
      </c>
      <c r="U18" s="7" t="s">
        <v>53</v>
      </c>
      <c r="V18" s="4">
        <v>9</v>
      </c>
    </row>
    <row r="19" spans="4:22" ht="34" x14ac:dyDescent="0.2">
      <c r="D19" s="10" t="s">
        <v>213</v>
      </c>
      <c r="E19">
        <v>2012</v>
      </c>
      <c r="F19">
        <v>8.5</v>
      </c>
      <c r="G19">
        <v>551</v>
      </c>
      <c r="H19" s="15">
        <f>Table123[[#This Row],[Column102]]/Table123[[#This Row],[Column2]]*0.1</f>
        <v>6.4823529411764715</v>
      </c>
      <c r="I19" s="15">
        <f>Table123[[#This Row],[Column102]]/Table123[[#This Row],[Column2]]*0.1</f>
        <v>6.4823529411764715</v>
      </c>
      <c r="J19">
        <v>11</v>
      </c>
      <c r="M19">
        <f>Table123[[#This Row],[Column5]]/Table123[[#This Row],[Column2]]*100</f>
        <v>0</v>
      </c>
      <c r="O19" t="e">
        <f>Table123[[#This Row],[Column102]]/Table123[[#This Row],[Column5]]*100</f>
        <v>#DIV/0!</v>
      </c>
      <c r="Q19">
        <v>551</v>
      </c>
      <c r="R19">
        <v>10</v>
      </c>
      <c r="U19" s="4" t="s">
        <v>81</v>
      </c>
      <c r="V19" s="7">
        <v>10</v>
      </c>
    </row>
    <row r="20" spans="4:22" ht="34" x14ac:dyDescent="0.2">
      <c r="D20" s="4" t="s">
        <v>104</v>
      </c>
      <c r="E20">
        <v>2012</v>
      </c>
      <c r="F20">
        <v>3.6</v>
      </c>
      <c r="G20">
        <v>631</v>
      </c>
      <c r="H20" s="15">
        <f>Table123[[#This Row],[Column102]]/Table123[[#This Row],[Column2]]*0.1</f>
        <v>17.527777777777779</v>
      </c>
      <c r="I20" s="15">
        <f>Table123[[#This Row],[Column102]]/Table123[[#This Row],[Column2]]*0.1</f>
        <v>17.527777777777779</v>
      </c>
      <c r="J20">
        <v>5</v>
      </c>
      <c r="M20">
        <f>Table123[[#This Row],[Column5]]/Table123[[#This Row],[Column2]]*100</f>
        <v>0</v>
      </c>
      <c r="O20" t="e">
        <f>Table123[[#This Row],[Column102]]/Table123[[#This Row],[Column5]]*100</f>
        <v>#DIV/0!</v>
      </c>
      <c r="Q20">
        <v>631</v>
      </c>
      <c r="R20">
        <v>11</v>
      </c>
      <c r="U20" s="10" t="s">
        <v>213</v>
      </c>
      <c r="V20" s="4">
        <v>11</v>
      </c>
    </row>
    <row r="21" spans="4:22" x14ac:dyDescent="0.2">
      <c r="D21" s="7" t="s">
        <v>214</v>
      </c>
      <c r="E21" t="s">
        <v>120</v>
      </c>
      <c r="G21">
        <v>1558</v>
      </c>
      <c r="H21" s="15"/>
      <c r="I21" s="15"/>
      <c r="M21" t="e">
        <f>Table123[[#This Row],[Column5]]/Table123[[#This Row],[Column2]]*100</f>
        <v>#DIV/0!</v>
      </c>
      <c r="O21" t="e">
        <f>Table123[[#This Row],[Column102]]/Table123[[#This Row],[Column5]]*100</f>
        <v>#DIV/0!</v>
      </c>
      <c r="Q21">
        <v>1558</v>
      </c>
      <c r="R21">
        <v>12</v>
      </c>
      <c r="U21" s="4" t="s">
        <v>104</v>
      </c>
      <c r="V21" s="7">
        <v>5</v>
      </c>
    </row>
    <row r="22" spans="4:22" x14ac:dyDescent="0.2">
      <c r="D22" s="4" t="s">
        <v>215</v>
      </c>
      <c r="E22">
        <v>2012</v>
      </c>
      <c r="F22">
        <v>1.7</v>
      </c>
      <c r="G22">
        <v>303</v>
      </c>
      <c r="H22" s="15">
        <f>Table123[[#This Row],[Column102]]/Table123[[#This Row],[Column2]]*0.1</f>
        <v>17.823529411764707</v>
      </c>
      <c r="I22" s="15">
        <f>Table123[[#This Row],[Column102]]/Table123[[#This Row],[Column2]]*0.1</f>
        <v>17.823529411764707</v>
      </c>
      <c r="J22">
        <v>5</v>
      </c>
      <c r="M22">
        <f>Table123[[#This Row],[Column5]]/Table123[[#This Row],[Column2]]*100</f>
        <v>0</v>
      </c>
      <c r="O22" t="e">
        <f>Table123[[#This Row],[Column102]]/Table123[[#This Row],[Column5]]*100</f>
        <v>#DIV/0!</v>
      </c>
      <c r="Q22">
        <v>303</v>
      </c>
      <c r="R22">
        <v>13</v>
      </c>
      <c r="U22" s="7" t="s">
        <v>214</v>
      </c>
      <c r="V22" s="4"/>
    </row>
    <row r="23" spans="4:22" x14ac:dyDescent="0.2">
      <c r="D23" s="7" t="s">
        <v>202</v>
      </c>
      <c r="E23">
        <v>2012</v>
      </c>
      <c r="F23">
        <v>2.9</v>
      </c>
      <c r="G23">
        <v>179</v>
      </c>
      <c r="H23" s="15">
        <f>Table123[[#This Row],[Column102]]/Table123[[#This Row],[Column2]]*0.1</f>
        <v>6.1724137931034484</v>
      </c>
      <c r="I23" s="15">
        <f>Table123[[#This Row],[Column102]]/Table123[[#This Row],[Column2]]*0.1</f>
        <v>6.1724137931034484</v>
      </c>
      <c r="J23">
        <v>11</v>
      </c>
      <c r="M23">
        <f>Table123[[#This Row],[Column5]]/Table123[[#This Row],[Column2]]*100</f>
        <v>0</v>
      </c>
      <c r="O23" t="e">
        <f>Table123[[#This Row],[Column102]]/Table123[[#This Row],[Column5]]*100</f>
        <v>#DIV/0!</v>
      </c>
      <c r="Q23">
        <v>179</v>
      </c>
      <c r="R23">
        <v>14</v>
      </c>
      <c r="U23" s="4" t="s">
        <v>215</v>
      </c>
      <c r="V23" s="7">
        <v>5</v>
      </c>
    </row>
    <row r="24" spans="4:22" x14ac:dyDescent="0.2">
      <c r="D24" s="4" t="s">
        <v>32</v>
      </c>
      <c r="E24">
        <v>2012</v>
      </c>
      <c r="F24">
        <v>0.56999999999999995</v>
      </c>
      <c r="G24">
        <v>572</v>
      </c>
      <c r="H24" s="15">
        <f>Table123[[#This Row],[Column102]]/Table123[[#This Row],[Column2]]*0.1</f>
        <v>100.35087719298247</v>
      </c>
      <c r="I24" s="15">
        <f>Table123[[#This Row],[Column102]]/Table123[[#This Row],[Column2]]*0.1</f>
        <v>100.35087719298247</v>
      </c>
      <c r="J24">
        <v>2</v>
      </c>
      <c r="M24">
        <f>Table123[[#This Row],[Column5]]/Table123[[#This Row],[Column2]]*100</f>
        <v>0</v>
      </c>
      <c r="O24" t="e">
        <f>Table123[[#This Row],[Column102]]/Table123[[#This Row],[Column5]]*100</f>
        <v>#DIV/0!</v>
      </c>
      <c r="Q24">
        <v>572</v>
      </c>
      <c r="R24">
        <v>15</v>
      </c>
      <c r="U24" s="7" t="s">
        <v>202</v>
      </c>
      <c r="V24" s="4">
        <v>11</v>
      </c>
    </row>
    <row r="25" spans="4:22" x14ac:dyDescent="0.2">
      <c r="H25" s="16"/>
      <c r="I25" s="15"/>
      <c r="U25" s="4" t="s">
        <v>32</v>
      </c>
      <c r="V25" s="7">
        <v>2</v>
      </c>
    </row>
    <row r="29" spans="4:22" ht="51" x14ac:dyDescent="0.2">
      <c r="D29" s="1" t="s">
        <v>173</v>
      </c>
      <c r="F29" s="23">
        <f>AVERAGE(F11:F24)</f>
        <v>5.5130769230769232</v>
      </c>
      <c r="G29" s="23"/>
      <c r="H29" s="23">
        <f>AVERAGE(H11:H24)</f>
        <v>32.995354590390178</v>
      </c>
      <c r="I29" s="23">
        <v>21</v>
      </c>
    </row>
    <row r="30" spans="4:22" ht="51" x14ac:dyDescent="0.2">
      <c r="D30" s="1" t="s">
        <v>218</v>
      </c>
      <c r="E30" s="17"/>
      <c r="F30" s="18">
        <f>F10/F29*100</f>
        <v>58.043811915724852</v>
      </c>
      <c r="G30" s="18"/>
      <c r="H30" s="18">
        <f>H10/H29*100</f>
        <v>201.35410219034219</v>
      </c>
      <c r="I30" s="18">
        <f>H10/I29*100</f>
        <v>316.36904761904765</v>
      </c>
    </row>
  </sheetData>
  <pageMargins left="0.75" right="0.75" top="1" bottom="1" header="0.5" footer="0.5"/>
  <pageSetup scale="94" orientation="portrait" horizontalDpi="4294967292" verticalDpi="4294967292"/>
  <colBreaks count="2" manualBreakCount="2">
    <brk id="9" max="1048575" man="1"/>
    <brk id="18" max="1048575" man="1"/>
  </colBreaks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FED55-C22F-364F-A059-75EFE2E9407D}">
  <dimension ref="B3:Y29"/>
  <sheetViews>
    <sheetView topLeftCell="A3" workbookViewId="0">
      <selection activeCell="S10" sqref="S10:T24"/>
    </sheetView>
  </sheetViews>
  <sheetFormatPr baseColWidth="10" defaultRowHeight="16" x14ac:dyDescent="0.2"/>
  <cols>
    <col min="5" max="14" width="11" customWidth="1"/>
    <col min="15" max="15" width="12" customWidth="1"/>
    <col min="20" max="20" width="18.33203125" bestFit="1" customWidth="1"/>
  </cols>
  <sheetData>
    <row r="3" spans="2:25" x14ac:dyDescent="0.2">
      <c r="B3">
        <v>2013</v>
      </c>
    </row>
    <row r="8" spans="2:25" ht="68" x14ac:dyDescent="0.2">
      <c r="E8" s="1" t="s">
        <v>10</v>
      </c>
      <c r="F8" s="1" t="s">
        <v>230</v>
      </c>
      <c r="G8" s="1" t="s">
        <v>12</v>
      </c>
      <c r="H8" s="1" t="s">
        <v>13</v>
      </c>
      <c r="I8" s="1" t="s">
        <v>14</v>
      </c>
      <c r="J8" s="1" t="s">
        <v>10</v>
      </c>
      <c r="K8" s="1" t="s">
        <v>15</v>
      </c>
      <c r="L8" s="1" t="s">
        <v>16</v>
      </c>
      <c r="M8" s="1" t="s">
        <v>17</v>
      </c>
      <c r="N8" s="1" t="s">
        <v>18</v>
      </c>
      <c r="O8" s="1" t="s">
        <v>229</v>
      </c>
      <c r="P8" s="1" t="s">
        <v>21</v>
      </c>
    </row>
    <row r="9" spans="2:25" x14ac:dyDescent="0.2">
      <c r="E9" t="s">
        <v>0</v>
      </c>
      <c r="F9" t="s">
        <v>1</v>
      </c>
      <c r="G9" t="s">
        <v>2</v>
      </c>
      <c r="H9" t="s">
        <v>3</v>
      </c>
      <c r="I9" t="s">
        <v>4</v>
      </c>
      <c r="J9" t="s">
        <v>22</v>
      </c>
      <c r="K9" t="s">
        <v>5</v>
      </c>
      <c r="L9" t="s">
        <v>6</v>
      </c>
      <c r="M9" t="s">
        <v>7</v>
      </c>
      <c r="N9" t="s">
        <v>8</v>
      </c>
      <c r="O9" t="s">
        <v>9</v>
      </c>
      <c r="P9" t="s">
        <v>20</v>
      </c>
      <c r="Q9" t="s">
        <v>182</v>
      </c>
      <c r="W9" t="s">
        <v>226</v>
      </c>
      <c r="X9" t="s">
        <v>228</v>
      </c>
      <c r="Y9" t="s">
        <v>227</v>
      </c>
    </row>
    <row r="10" spans="2:25" x14ac:dyDescent="0.2">
      <c r="E10">
        <v>2015</v>
      </c>
      <c r="F10">
        <v>5037</v>
      </c>
      <c r="G10" s="15">
        <f>Table125[[#This Row],[Column10]]/Table125[[#This Row],[Column2]]*100</f>
        <v>104.73377010125076</v>
      </c>
      <c r="H10">
        <v>1</v>
      </c>
      <c r="K10">
        <f>Table125[[#This Row],[Column5]]/Table125[[#This Row],[Column2]]*100</f>
        <v>0</v>
      </c>
      <c r="M10" t="e">
        <f>Table125[[#This Row],[Column10]]/Table125[[#This Row],[Column5]]*100</f>
        <v>#DIV/0!</v>
      </c>
      <c r="O10">
        <v>5275.4400000000005</v>
      </c>
      <c r="P10">
        <v>6</v>
      </c>
      <c r="Q10" s="4" t="s">
        <v>31</v>
      </c>
      <c r="S10" s="4" t="s">
        <v>31</v>
      </c>
      <c r="T10" s="40">
        <v>104.73377010125076</v>
      </c>
      <c r="W10" s="7">
        <v>626.1</v>
      </c>
      <c r="X10" s="7">
        <v>4.3</v>
      </c>
      <c r="Y10">
        <f>W10*X10</f>
        <v>2692.23</v>
      </c>
    </row>
    <row r="11" spans="2:25" x14ac:dyDescent="0.2">
      <c r="E11">
        <v>2014</v>
      </c>
      <c r="F11">
        <v>521.70000000000005</v>
      </c>
      <c r="G11" s="15">
        <f>Table125[[#This Row],[Column10]]/Table125[[#This Row],[Column2]]*100</f>
        <v>102.5340233850872</v>
      </c>
      <c r="H11">
        <v>2</v>
      </c>
      <c r="K11">
        <f>Table125[[#This Row],[Column5]]/Table125[[#This Row],[Column2]]*100</f>
        <v>0</v>
      </c>
      <c r="M11" t="e">
        <f>Table125[[#This Row],[Column10]]/Table125[[#This Row],[Column5]]*100</f>
        <v>#DIV/0!</v>
      </c>
      <c r="O11">
        <v>534.91999999999996</v>
      </c>
      <c r="P11">
        <v>14</v>
      </c>
      <c r="Q11" s="4" t="s">
        <v>32</v>
      </c>
      <c r="S11" s="4" t="s">
        <v>32</v>
      </c>
      <c r="T11" s="40">
        <v>102.5340233850872</v>
      </c>
      <c r="W11" s="4">
        <v>292.2</v>
      </c>
      <c r="X11" s="4">
        <v>1.8</v>
      </c>
      <c r="Y11">
        <f t="shared" ref="Y11:Y24" si="0">W11*X11</f>
        <v>525.96</v>
      </c>
    </row>
    <row r="12" spans="2:25" x14ac:dyDescent="0.2">
      <c r="E12">
        <v>2015</v>
      </c>
      <c r="F12">
        <v>2259</v>
      </c>
      <c r="G12" s="15">
        <f>Table125[[#This Row],[Column10]]/Table125[[#This Row],[Column2]]*100</f>
        <v>64.078353253652054</v>
      </c>
      <c r="H12">
        <v>3</v>
      </c>
      <c r="K12">
        <f>Table125[[#This Row],[Column5]]/Table125[[#This Row],[Column2]]*100</f>
        <v>0</v>
      </c>
      <c r="M12" t="e">
        <f>Table125[[#This Row],[Column10]]/Table125[[#This Row],[Column5]]*100</f>
        <v>#DIV/0!</v>
      </c>
      <c r="O12">
        <v>1447.53</v>
      </c>
      <c r="P12">
        <v>13</v>
      </c>
      <c r="Q12" s="7" t="s">
        <v>225</v>
      </c>
      <c r="S12" s="7" t="s">
        <v>225</v>
      </c>
      <c r="T12" s="40">
        <v>64.078353253652054</v>
      </c>
      <c r="W12" s="7">
        <v>218.9</v>
      </c>
      <c r="X12" s="7">
        <v>1.1000000000000001</v>
      </c>
      <c r="Y12">
        <f t="shared" si="0"/>
        <v>240.79000000000002</v>
      </c>
    </row>
    <row r="13" spans="2:25" ht="34" x14ac:dyDescent="0.2">
      <c r="E13" t="s">
        <v>242</v>
      </c>
      <c r="F13">
        <v>4279</v>
      </c>
      <c r="G13" s="15">
        <f>Table125[[#This Row],[Column10]]/Table125[[#This Row],[Column2]]*100</f>
        <v>62.917270390278105</v>
      </c>
      <c r="H13">
        <v>4</v>
      </c>
      <c r="K13">
        <f>Table125[[#This Row],[Column5]]/Table125[[#This Row],[Column2]]*100</f>
        <v>0</v>
      </c>
      <c r="M13" t="e">
        <f>Table125[[#This Row],[Column10]]/Table125[[#This Row],[Column5]]*100</f>
        <v>#DIV/0!</v>
      </c>
      <c r="O13">
        <v>2692.23</v>
      </c>
      <c r="P13">
        <v>1</v>
      </c>
      <c r="Q13" s="10" t="s">
        <v>239</v>
      </c>
      <c r="S13" s="10" t="s">
        <v>239</v>
      </c>
      <c r="T13" s="40">
        <v>62.917270390278105</v>
      </c>
      <c r="W13" s="4">
        <v>218</v>
      </c>
      <c r="X13" s="4">
        <v>7.3</v>
      </c>
      <c r="Y13">
        <f t="shared" si="0"/>
        <v>1591.3999999999999</v>
      </c>
    </row>
    <row r="14" spans="2:25" x14ac:dyDescent="0.2">
      <c r="E14">
        <v>2014</v>
      </c>
      <c r="F14">
        <v>7560</v>
      </c>
      <c r="G14" s="15">
        <f>Table125[[#This Row],[Column10]]/Table125[[#This Row],[Column2]]*100</f>
        <v>46.0015873015873</v>
      </c>
      <c r="H14">
        <v>5</v>
      </c>
      <c r="K14">
        <f>Table125[[#This Row],[Column5]]/Table125[[#This Row],[Column2]]*100</f>
        <v>0</v>
      </c>
      <c r="M14" t="e">
        <f>Table125[[#This Row],[Column10]]/Table125[[#This Row],[Column5]]*100</f>
        <v>#DIV/0!</v>
      </c>
      <c r="O14">
        <v>3477.72</v>
      </c>
      <c r="P14">
        <v>7</v>
      </c>
      <c r="Q14" s="7" t="s">
        <v>223</v>
      </c>
      <c r="S14" s="7" t="s">
        <v>223</v>
      </c>
      <c r="T14" s="40">
        <v>46.0015873015873</v>
      </c>
      <c r="W14" s="7">
        <v>204.9</v>
      </c>
      <c r="X14" s="7">
        <v>0.6</v>
      </c>
      <c r="Y14">
        <f t="shared" si="0"/>
        <v>122.94</v>
      </c>
    </row>
    <row r="15" spans="2:25" x14ac:dyDescent="0.2">
      <c r="E15">
        <v>2014</v>
      </c>
      <c r="F15">
        <v>2048</v>
      </c>
      <c r="G15" s="15">
        <f>Table125[[#This Row],[Column10]]/Table125[[#This Row],[Column2]]*100</f>
        <v>25.681640625</v>
      </c>
      <c r="H15">
        <v>6</v>
      </c>
      <c r="K15">
        <f>Table125[[#This Row],[Column5]]/Table125[[#This Row],[Column2]]*100</f>
        <v>0</v>
      </c>
      <c r="M15" t="e">
        <f>Table125[[#This Row],[Column10]]/Table125[[#This Row],[Column5]]*100</f>
        <v>#DIV/0!</v>
      </c>
      <c r="O15">
        <v>525.96</v>
      </c>
      <c r="P15">
        <v>2</v>
      </c>
      <c r="Q15" s="4" t="s">
        <v>25</v>
      </c>
      <c r="S15" s="4" t="s">
        <v>25</v>
      </c>
      <c r="T15" s="40">
        <v>25.681640625</v>
      </c>
      <c r="W15" s="4">
        <v>172.4</v>
      </c>
      <c r="X15" s="4">
        <v>30.6</v>
      </c>
      <c r="Y15">
        <f t="shared" si="0"/>
        <v>5275.4400000000005</v>
      </c>
    </row>
    <row r="16" spans="2:25" x14ac:dyDescent="0.2">
      <c r="E16">
        <v>2014</v>
      </c>
      <c r="F16">
        <v>1483</v>
      </c>
      <c r="G16" s="15">
        <f>Table125[[#This Row],[Column10]]/Table125[[#This Row],[Column2]]*100</f>
        <v>21.849629130141608</v>
      </c>
      <c r="H16">
        <v>7</v>
      </c>
      <c r="K16">
        <f>Table125[[#This Row],[Column5]]/Table125[[#This Row],[Column2]]*100</f>
        <v>0</v>
      </c>
      <c r="M16" t="e">
        <f>Table125[[#This Row],[Column10]]/Table125[[#This Row],[Column5]]*100</f>
        <v>#DIV/0!</v>
      </c>
      <c r="O16">
        <v>324.03000000000003</v>
      </c>
      <c r="P16">
        <v>8</v>
      </c>
      <c r="Q16" s="4" t="s">
        <v>215</v>
      </c>
      <c r="S16" s="4" t="s">
        <v>215</v>
      </c>
      <c r="T16" s="40">
        <v>21.849629130141608</v>
      </c>
      <c r="W16" s="7">
        <v>158.80000000000001</v>
      </c>
      <c r="X16" s="7">
        <v>21.9</v>
      </c>
      <c r="Y16">
        <f t="shared" si="0"/>
        <v>3477.72</v>
      </c>
    </row>
    <row r="17" spans="4:25" x14ac:dyDescent="0.2">
      <c r="E17">
        <v>2014</v>
      </c>
      <c r="F17">
        <v>10710</v>
      </c>
      <c r="G17" s="15">
        <f>Table125[[#This Row],[Column10]]/Table125[[#This Row],[Column2]]*100</f>
        <v>14.859010270774975</v>
      </c>
      <c r="H17">
        <v>8</v>
      </c>
      <c r="K17">
        <f>Table125[[#This Row],[Column5]]/Table125[[#This Row],[Column2]]*100</f>
        <v>0</v>
      </c>
      <c r="M17" t="e">
        <f>Table125[[#This Row],[Column10]]/Table125[[#This Row],[Column5]]*100</f>
        <v>#DIV/0!</v>
      </c>
      <c r="O17">
        <v>1591.3999999999999</v>
      </c>
      <c r="P17">
        <v>4</v>
      </c>
      <c r="Q17" s="4" t="s">
        <v>37</v>
      </c>
      <c r="S17" s="4" t="s">
        <v>37</v>
      </c>
      <c r="T17" s="40">
        <v>14.859010270774975</v>
      </c>
      <c r="W17" s="4">
        <v>154.30000000000001</v>
      </c>
      <c r="X17" s="4">
        <v>2.1</v>
      </c>
      <c r="Y17">
        <f t="shared" si="0"/>
        <v>324.03000000000003</v>
      </c>
    </row>
    <row r="18" spans="4:25" x14ac:dyDescent="0.2">
      <c r="E18">
        <v>2014</v>
      </c>
      <c r="F18">
        <v>1700</v>
      </c>
      <c r="G18" s="15">
        <f>Table125[[#This Row],[Column10]]/Table125[[#This Row],[Column2]]*100</f>
        <v>14.164117647058823</v>
      </c>
      <c r="H18">
        <v>9</v>
      </c>
      <c r="K18">
        <f>Table125[[#This Row],[Column5]]/Table125[[#This Row],[Column2]]*100</f>
        <v>0</v>
      </c>
      <c r="M18" t="e">
        <f>Table125[[#This Row],[Column10]]/Table125[[#This Row],[Column5]]*100</f>
        <v>#DIV/0!</v>
      </c>
      <c r="O18">
        <v>240.79000000000002</v>
      </c>
      <c r="P18">
        <v>3</v>
      </c>
      <c r="Q18" s="7" t="s">
        <v>26</v>
      </c>
      <c r="S18" s="7" t="s">
        <v>26</v>
      </c>
      <c r="T18" s="40">
        <v>14.164117647058823</v>
      </c>
      <c r="W18" s="7">
        <v>150.9</v>
      </c>
      <c r="X18" s="7">
        <v>2.8</v>
      </c>
      <c r="Y18">
        <f t="shared" si="0"/>
        <v>422.52</v>
      </c>
    </row>
    <row r="19" spans="4:25" x14ac:dyDescent="0.2">
      <c r="E19">
        <v>2014</v>
      </c>
      <c r="F19">
        <v>5257</v>
      </c>
      <c r="G19" s="15">
        <f>Table125[[#This Row],[Column10]]/Table125[[#This Row],[Column2]]*100</f>
        <v>11.925813201445692</v>
      </c>
      <c r="H19">
        <v>10</v>
      </c>
      <c r="K19">
        <f>Table125[[#This Row],[Column5]]/Table125[[#This Row],[Column2]]*100</f>
        <v>0</v>
      </c>
      <c r="M19" t="e">
        <f>Table125[[#This Row],[Column10]]/Table125[[#This Row],[Column5]]*100</f>
        <v>#DIV/0!</v>
      </c>
      <c r="O19">
        <v>626.94000000000005</v>
      </c>
      <c r="P19">
        <v>10</v>
      </c>
      <c r="Q19" s="4" t="s">
        <v>104</v>
      </c>
      <c r="S19" s="4" t="s">
        <v>104</v>
      </c>
      <c r="T19" s="40">
        <v>11.925813201445692</v>
      </c>
      <c r="W19" s="4">
        <v>145.80000000000001</v>
      </c>
      <c r="X19" s="4">
        <v>4.3</v>
      </c>
      <c r="Y19">
        <f t="shared" si="0"/>
        <v>626.94000000000005</v>
      </c>
    </row>
    <row r="20" spans="4:25" x14ac:dyDescent="0.2">
      <c r="E20">
        <v>2014</v>
      </c>
      <c r="F20">
        <v>4360</v>
      </c>
      <c r="G20" s="15">
        <f>Table125[[#This Row],[Column10]]/Table125[[#This Row],[Column2]]*100</f>
        <v>9.6908256880733941</v>
      </c>
      <c r="H20">
        <v>11</v>
      </c>
      <c r="K20">
        <f>Table125[[#This Row],[Column5]]/Table125[[#This Row],[Column2]]*100</f>
        <v>0</v>
      </c>
      <c r="M20" t="e">
        <f>Table125[[#This Row],[Column10]]/Table125[[#This Row],[Column5]]*100</f>
        <v>#DIV/0!</v>
      </c>
      <c r="O20">
        <v>422.52</v>
      </c>
      <c r="P20">
        <v>9</v>
      </c>
      <c r="Q20" s="7" t="s">
        <v>53</v>
      </c>
      <c r="S20" s="7" t="s">
        <v>53</v>
      </c>
      <c r="T20" s="40">
        <v>9.6908256880733941</v>
      </c>
      <c r="W20" s="7">
        <v>143.6</v>
      </c>
      <c r="X20" s="7">
        <v>3.8</v>
      </c>
      <c r="Y20">
        <f t="shared" si="0"/>
        <v>545.67999999999995</v>
      </c>
    </row>
    <row r="21" spans="4:25" x14ac:dyDescent="0.2">
      <c r="E21" t="s">
        <v>241</v>
      </c>
      <c r="F21">
        <v>1580</v>
      </c>
      <c r="G21" s="15">
        <f>Table125[[#This Row],[Column10]]/Table125[[#This Row],[Column2]]*100</f>
        <v>7.7810126582278478</v>
      </c>
      <c r="H21">
        <v>12</v>
      </c>
      <c r="K21">
        <f>Table125[[#This Row],[Column5]]/Table125[[#This Row],[Column2]]*100</f>
        <v>0</v>
      </c>
      <c r="M21" t="e">
        <f>Table125[[#This Row],[Column10]]/Table125[[#This Row],[Column5]]*100</f>
        <v>#DIV/0!</v>
      </c>
      <c r="O21">
        <v>122.94</v>
      </c>
      <c r="P21">
        <v>5</v>
      </c>
      <c r="Q21" s="7" t="s">
        <v>86</v>
      </c>
      <c r="S21" s="7" t="s">
        <v>86</v>
      </c>
      <c r="T21" s="40">
        <v>7.7810126582278478</v>
      </c>
      <c r="W21" s="4">
        <v>140.19999999999999</v>
      </c>
      <c r="X21" s="4">
        <v>4.8</v>
      </c>
      <c r="Y21">
        <f t="shared" si="0"/>
        <v>672.95999999999992</v>
      </c>
    </row>
    <row r="22" spans="4:25" x14ac:dyDescent="0.2">
      <c r="E22">
        <v>2014</v>
      </c>
      <c r="F22">
        <v>3438</v>
      </c>
      <c r="G22" s="15">
        <f>Table125[[#This Row],[Column10]]/Table125[[#This Row],[Column2]]*100</f>
        <v>7.2931937172774868</v>
      </c>
      <c r="H22">
        <v>13</v>
      </c>
      <c r="K22">
        <f>Table125[[#This Row],[Column5]]/Table125[[#This Row],[Column2]]*100</f>
        <v>0</v>
      </c>
      <c r="M22" t="e">
        <f>Table125[[#This Row],[Column10]]/Table125[[#This Row],[Column5]]*100</f>
        <v>#DIV/0!</v>
      </c>
      <c r="O22">
        <v>250.74</v>
      </c>
      <c r="P22">
        <v>15</v>
      </c>
      <c r="Q22" s="7" t="s">
        <v>64</v>
      </c>
      <c r="S22" s="7" t="s">
        <v>64</v>
      </c>
      <c r="T22" s="40">
        <v>7.2931937172774868</v>
      </c>
      <c r="W22" s="7">
        <v>128.1</v>
      </c>
      <c r="X22" s="7">
        <v>11.3</v>
      </c>
      <c r="Y22">
        <f t="shared" si="0"/>
        <v>1447.53</v>
      </c>
    </row>
    <row r="23" spans="4:25" x14ac:dyDescent="0.2">
      <c r="E23">
        <v>2014</v>
      </c>
      <c r="F23">
        <v>7497</v>
      </c>
      <c r="G23" s="15">
        <f>Table125[[#This Row],[Column10]]/Table125[[#This Row],[Column2]]*100</f>
        <v>7.2786447912498335</v>
      </c>
      <c r="H23">
        <v>14</v>
      </c>
      <c r="K23">
        <f>Table125[[#This Row],[Column5]]/Table125[[#This Row],[Column2]]*100</f>
        <v>0</v>
      </c>
      <c r="M23" t="e">
        <f>Table125[[#This Row],[Column10]]/Table125[[#This Row],[Column5]]*100</f>
        <v>#DIV/0!</v>
      </c>
      <c r="O23">
        <v>545.67999999999995</v>
      </c>
      <c r="P23">
        <v>11</v>
      </c>
      <c r="Q23" s="7" t="s">
        <v>224</v>
      </c>
      <c r="S23" s="7" t="s">
        <v>224</v>
      </c>
      <c r="T23" s="40">
        <v>7.2786447912498335</v>
      </c>
      <c r="W23" s="4">
        <v>124.4</v>
      </c>
      <c r="X23" s="4">
        <v>4.3</v>
      </c>
      <c r="Y23">
        <f t="shared" si="0"/>
        <v>534.91999999999996</v>
      </c>
    </row>
    <row r="24" spans="4:25" x14ac:dyDescent="0.2">
      <c r="E24">
        <v>2014</v>
      </c>
      <c r="F24">
        <v>13560</v>
      </c>
      <c r="G24" s="15">
        <f>Table125[[#This Row],[Column10]]/Table125[[#This Row],[Column2]]*100</f>
        <v>4.9628318584070792</v>
      </c>
      <c r="H24">
        <v>15</v>
      </c>
      <c r="K24">
        <f>Table125[[#This Row],[Column5]]/Table125[[#This Row],[Column2]]*100</f>
        <v>0</v>
      </c>
      <c r="M24" t="e">
        <f>Table125[[#This Row],[Column10]]/Table125[[#This Row],[Column5]]*100</f>
        <v>#DIV/0!</v>
      </c>
      <c r="O24">
        <v>672.95999999999992</v>
      </c>
      <c r="P24">
        <v>12</v>
      </c>
      <c r="Q24" s="4" t="s">
        <v>63</v>
      </c>
      <c r="S24" s="4" t="s">
        <v>63</v>
      </c>
      <c r="T24" s="40">
        <v>4.9628318584070792</v>
      </c>
      <c r="W24" s="7">
        <v>119.4</v>
      </c>
      <c r="X24" s="7">
        <v>2.1</v>
      </c>
      <c r="Y24">
        <f t="shared" si="0"/>
        <v>250.74</v>
      </c>
    </row>
    <row r="25" spans="4:25" x14ac:dyDescent="0.2">
      <c r="S25" s="38"/>
      <c r="T25" s="37"/>
    </row>
    <row r="29" spans="4:25" x14ac:dyDescent="0.2">
      <c r="D29" t="s">
        <v>243</v>
      </c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34F50-FD97-9B48-9695-A5FB113D7F26}">
  <dimension ref="D8:AA28"/>
  <sheetViews>
    <sheetView workbookViewId="0">
      <selection activeCell="S10" sqref="S10:T24"/>
    </sheetView>
  </sheetViews>
  <sheetFormatPr baseColWidth="10" defaultRowHeight="16" x14ac:dyDescent="0.2"/>
  <cols>
    <col min="5" max="14" width="11" customWidth="1"/>
    <col min="15" max="15" width="12" customWidth="1"/>
  </cols>
  <sheetData>
    <row r="8" spans="5:27" ht="68" x14ac:dyDescent="0.2">
      <c r="E8" s="1" t="s">
        <v>10</v>
      </c>
      <c r="F8" t="s">
        <v>238</v>
      </c>
      <c r="G8" s="1" t="s">
        <v>12</v>
      </c>
      <c r="H8" s="1" t="s">
        <v>13</v>
      </c>
      <c r="I8" s="1" t="s">
        <v>14</v>
      </c>
      <c r="J8" s="1" t="s">
        <v>10</v>
      </c>
      <c r="K8" s="1" t="s">
        <v>15</v>
      </c>
      <c r="L8" s="1" t="s">
        <v>16</v>
      </c>
      <c r="M8" s="1" t="s">
        <v>17</v>
      </c>
      <c r="N8" s="1" t="s">
        <v>18</v>
      </c>
      <c r="O8" s="1" t="s">
        <v>237</v>
      </c>
      <c r="P8" s="1" t="s">
        <v>21</v>
      </c>
      <c r="Q8" s="1" t="s">
        <v>248</v>
      </c>
    </row>
    <row r="9" spans="5:27" x14ac:dyDescent="0.2">
      <c r="E9" t="s">
        <v>0</v>
      </c>
      <c r="F9" t="s">
        <v>1</v>
      </c>
      <c r="G9" t="s">
        <v>2</v>
      </c>
      <c r="H9" t="s">
        <v>3</v>
      </c>
      <c r="I9" t="s">
        <v>4</v>
      </c>
      <c r="J9" t="s">
        <v>22</v>
      </c>
      <c r="K9" t="s">
        <v>5</v>
      </c>
      <c r="L9" t="s">
        <v>6</v>
      </c>
      <c r="M9" t="s">
        <v>7</v>
      </c>
      <c r="N9" t="s">
        <v>8</v>
      </c>
      <c r="O9" t="s">
        <v>9</v>
      </c>
      <c r="P9" t="s">
        <v>20</v>
      </c>
      <c r="Q9" t="s">
        <v>182</v>
      </c>
      <c r="V9" t="s">
        <v>236</v>
      </c>
    </row>
    <row r="10" spans="5:27" ht="34" x14ac:dyDescent="0.2">
      <c r="E10">
        <v>2015</v>
      </c>
      <c r="F10">
        <v>205.4</v>
      </c>
      <c r="G10" s="15">
        <f>Table12526[[#This Row],[Column10]]/Table12526[[#This Row],[Column2]]*100</f>
        <v>290.60370009737096</v>
      </c>
      <c r="H10">
        <v>1</v>
      </c>
      <c r="K10">
        <f>Table12526[[#This Row],[Column5]]/Table12526[[#This Row],[Column2]]*100</f>
        <v>0</v>
      </c>
      <c r="M10" t="e">
        <f>Table12526[[#This Row],[Column10]]/Table12526[[#This Row],[Column5]]*100</f>
        <v>#DIV/0!</v>
      </c>
      <c r="O10">
        <v>596.9</v>
      </c>
      <c r="P10" s="2">
        <v>15</v>
      </c>
      <c r="Q10" s="10" t="s">
        <v>235</v>
      </c>
      <c r="S10" s="10" t="s">
        <v>235</v>
      </c>
      <c r="T10" s="15">
        <v>290.60370009737096</v>
      </c>
      <c r="W10" s="10" t="s">
        <v>222</v>
      </c>
      <c r="X10" s="2">
        <v>1</v>
      </c>
      <c r="Y10" s="7">
        <v>579</v>
      </c>
      <c r="Z10" s="7">
        <v>4.7</v>
      </c>
      <c r="AA10">
        <f>Y10*Z10</f>
        <v>2721.3</v>
      </c>
    </row>
    <row r="11" spans="5:27" x14ac:dyDescent="0.2">
      <c r="E11">
        <v>2015</v>
      </c>
      <c r="F11">
        <v>581.70000000000005</v>
      </c>
      <c r="G11" s="15">
        <f>Table12526[[#This Row],[Column10]]/Table12526[[#This Row],[Column2]]*100</f>
        <v>128.05913701220561</v>
      </c>
      <c r="H11">
        <v>2</v>
      </c>
      <c r="K11">
        <f>Table12526[[#This Row],[Column5]]/Table12526[[#This Row],[Column2]]*100</f>
        <v>0</v>
      </c>
      <c r="M11" t="e">
        <f>Table12526[[#This Row],[Column10]]/Table12526[[#This Row],[Column5]]*100</f>
        <v>#DIV/0!</v>
      </c>
      <c r="O11">
        <v>744.92000000000007</v>
      </c>
      <c r="P11" s="3">
        <v>8</v>
      </c>
      <c r="Q11" s="4" t="s">
        <v>32</v>
      </c>
      <c r="S11" s="4" t="s">
        <v>32</v>
      </c>
      <c r="T11" s="15">
        <v>128.05913701220561</v>
      </c>
      <c r="W11" s="4" t="s">
        <v>37</v>
      </c>
      <c r="X11" s="3">
        <v>2</v>
      </c>
      <c r="Y11" s="4">
        <v>408.5</v>
      </c>
      <c r="Z11" s="4">
        <v>7.5</v>
      </c>
      <c r="AA11">
        <f t="shared" ref="AA11:AA24" si="0">Y11*Z11</f>
        <v>3063.75</v>
      </c>
    </row>
    <row r="12" spans="5:27" x14ac:dyDescent="0.2">
      <c r="E12">
        <v>2015</v>
      </c>
      <c r="F12">
        <v>908.8</v>
      </c>
      <c r="G12" s="15">
        <f>Table12526[[#This Row],[Column10]]/Table12526[[#This Row],[Column2]]*100</f>
        <v>98.375880281690144</v>
      </c>
      <c r="H12">
        <v>3</v>
      </c>
      <c r="K12">
        <f>Table12526[[#This Row],[Column5]]/Table12526[[#This Row],[Column2]]*100</f>
        <v>0</v>
      </c>
      <c r="M12" t="e">
        <f>Table12526[[#This Row],[Column10]]/Table12526[[#This Row],[Column5]]*100</f>
        <v>#DIV/0!</v>
      </c>
      <c r="O12">
        <v>894.04</v>
      </c>
      <c r="P12" s="3">
        <v>14</v>
      </c>
      <c r="Q12" s="4" t="s">
        <v>234</v>
      </c>
      <c r="S12" s="4" t="s">
        <v>234</v>
      </c>
      <c r="T12" s="15">
        <v>98.375880281690144</v>
      </c>
      <c r="W12" s="7" t="s">
        <v>25</v>
      </c>
      <c r="X12" s="2">
        <v>3</v>
      </c>
      <c r="Y12" s="7">
        <v>317.89999999999998</v>
      </c>
      <c r="Z12" s="7">
        <v>1.9</v>
      </c>
      <c r="AA12">
        <f t="shared" si="0"/>
        <v>604.00999999999988</v>
      </c>
    </row>
    <row r="13" spans="5:27" x14ac:dyDescent="0.2">
      <c r="E13" t="s">
        <v>246</v>
      </c>
      <c r="F13">
        <v>5037</v>
      </c>
      <c r="G13" s="15">
        <f>Table12526[[#This Row],[Column10]]/Table12526[[#This Row],[Column2]]*100</f>
        <v>94.763748262854875</v>
      </c>
      <c r="H13">
        <v>4</v>
      </c>
      <c r="K13">
        <f>Table12526[[#This Row],[Column5]]/Table12526[[#This Row],[Column2]]*100</f>
        <v>0</v>
      </c>
      <c r="M13" t="e">
        <f>Table12526[[#This Row],[Column10]]/Table12526[[#This Row],[Column5]]*100</f>
        <v>#DIV/0!</v>
      </c>
      <c r="O13">
        <v>4773.25</v>
      </c>
      <c r="P13" s="3">
        <v>12</v>
      </c>
      <c r="Q13" s="4" t="s">
        <v>31</v>
      </c>
      <c r="S13" s="4" t="s">
        <v>31</v>
      </c>
      <c r="T13" s="15">
        <v>94.763748262854875</v>
      </c>
      <c r="W13" s="4" t="s">
        <v>28</v>
      </c>
      <c r="X13" s="3">
        <v>4</v>
      </c>
      <c r="Y13" s="4">
        <v>208.5</v>
      </c>
      <c r="Z13" s="4">
        <v>0.8</v>
      </c>
      <c r="AA13">
        <f t="shared" si="0"/>
        <v>166.8</v>
      </c>
    </row>
    <row r="14" spans="5:27" x14ac:dyDescent="0.2">
      <c r="E14" t="s">
        <v>247</v>
      </c>
      <c r="F14">
        <v>2259</v>
      </c>
      <c r="G14" s="15">
        <f>Table12526[[#This Row],[Column10]]/Table12526[[#This Row],[Column2]]*100</f>
        <v>85.406374501992033</v>
      </c>
      <c r="H14">
        <v>5</v>
      </c>
      <c r="K14">
        <f>Table12526[[#This Row],[Column5]]/Table12526[[#This Row],[Column2]]*100</f>
        <v>0</v>
      </c>
      <c r="M14" t="e">
        <f>Table12526[[#This Row],[Column10]]/Table12526[[#This Row],[Column5]]*100</f>
        <v>#DIV/0!</v>
      </c>
      <c r="O14">
        <v>1929.33</v>
      </c>
      <c r="P14" s="3">
        <v>10</v>
      </c>
      <c r="Q14" s="4" t="s">
        <v>232</v>
      </c>
      <c r="S14" s="4" t="s">
        <v>232</v>
      </c>
      <c r="T14" s="15">
        <v>85.406374501992033</v>
      </c>
      <c r="W14" s="7" t="s">
        <v>26</v>
      </c>
      <c r="X14" s="2">
        <v>5</v>
      </c>
      <c r="Y14" s="7">
        <v>203.8</v>
      </c>
      <c r="Z14" s="7">
        <v>1.2</v>
      </c>
      <c r="AA14">
        <f t="shared" si="0"/>
        <v>244.56</v>
      </c>
    </row>
    <row r="15" spans="5:27" x14ac:dyDescent="0.2">
      <c r="E15">
        <v>2015</v>
      </c>
      <c r="F15">
        <v>5500</v>
      </c>
      <c r="G15" s="15">
        <f>Table12526[[#This Row],[Column10]]/Table12526[[#This Row],[Column2]]*100</f>
        <v>75.8</v>
      </c>
      <c r="H15">
        <v>6</v>
      </c>
      <c r="K15">
        <f>Table12526[[#This Row],[Column5]]/Table12526[[#This Row],[Column2]]*100</f>
        <v>0</v>
      </c>
      <c r="M15" t="e">
        <f>Table12526[[#This Row],[Column10]]/Table12526[[#This Row],[Column5]]*100</f>
        <v>#DIV/0!</v>
      </c>
      <c r="O15">
        <v>4169</v>
      </c>
      <c r="P15" s="3">
        <v>6</v>
      </c>
      <c r="Q15" s="4" t="s">
        <v>223</v>
      </c>
      <c r="S15" s="4" t="s">
        <v>223</v>
      </c>
      <c r="T15" s="15">
        <v>75.8</v>
      </c>
      <c r="W15" s="4" t="s">
        <v>223</v>
      </c>
      <c r="X15" s="3">
        <v>6</v>
      </c>
      <c r="Y15" s="4">
        <v>189.5</v>
      </c>
      <c r="Z15" s="4">
        <v>22</v>
      </c>
      <c r="AA15">
        <f t="shared" si="0"/>
        <v>4169</v>
      </c>
    </row>
    <row r="16" spans="5:27" ht="34" x14ac:dyDescent="0.2">
      <c r="E16">
        <v>2015</v>
      </c>
      <c r="F16">
        <v>4279</v>
      </c>
      <c r="G16" s="15">
        <f>Table12526[[#This Row],[Column10]]/Table12526[[#This Row],[Column2]]*100</f>
        <v>63.596634727740131</v>
      </c>
      <c r="H16">
        <v>7</v>
      </c>
      <c r="K16">
        <f>Table12526[[#This Row],[Column5]]/Table12526[[#This Row],[Column2]]*100</f>
        <v>0</v>
      </c>
      <c r="M16" t="e">
        <f>Table12526[[#This Row],[Column10]]/Table12526[[#This Row],[Column5]]*100</f>
        <v>#DIV/0!</v>
      </c>
      <c r="O16">
        <v>2721.3</v>
      </c>
      <c r="P16" s="2">
        <v>1</v>
      </c>
      <c r="Q16" s="10" t="s">
        <v>239</v>
      </c>
      <c r="S16" s="10" t="s">
        <v>239</v>
      </c>
      <c r="T16" s="15">
        <v>63.596634727740131</v>
      </c>
      <c r="W16" s="7" t="s">
        <v>63</v>
      </c>
      <c r="X16" s="2">
        <v>7</v>
      </c>
      <c r="Y16" s="7">
        <v>180.3</v>
      </c>
      <c r="Z16" s="7">
        <v>5</v>
      </c>
      <c r="AA16">
        <f t="shared" si="0"/>
        <v>901.5</v>
      </c>
    </row>
    <row r="17" spans="4:27" x14ac:dyDescent="0.2">
      <c r="E17">
        <v>2015</v>
      </c>
      <c r="F17">
        <v>1610</v>
      </c>
      <c r="G17" s="15">
        <f>Table12526[[#This Row],[Column10]]/Table12526[[#This Row],[Column2]]*100</f>
        <v>37.516149068322974</v>
      </c>
      <c r="H17">
        <v>8</v>
      </c>
      <c r="K17">
        <f>Table12526[[#This Row],[Column5]]/Table12526[[#This Row],[Column2]]*100</f>
        <v>0</v>
      </c>
      <c r="M17" t="e">
        <f>Table12526[[#This Row],[Column10]]/Table12526[[#This Row],[Column5]]*100</f>
        <v>#DIV/0!</v>
      </c>
      <c r="O17">
        <v>604.00999999999988</v>
      </c>
      <c r="P17" s="2">
        <v>3</v>
      </c>
      <c r="Q17" s="7" t="s">
        <v>25</v>
      </c>
      <c r="S17" s="7" t="s">
        <v>25</v>
      </c>
      <c r="T17" s="15">
        <v>37.516149068322974</v>
      </c>
      <c r="W17" s="4" t="s">
        <v>32</v>
      </c>
      <c r="X17" s="3">
        <v>8</v>
      </c>
      <c r="Y17" s="4">
        <v>169.3</v>
      </c>
      <c r="Z17" s="4">
        <v>4.4000000000000004</v>
      </c>
      <c r="AA17">
        <f t="shared" si="0"/>
        <v>744.92000000000007</v>
      </c>
    </row>
    <row r="18" spans="4:27" x14ac:dyDescent="0.2">
      <c r="E18">
        <v>2015</v>
      </c>
      <c r="F18">
        <v>11420</v>
      </c>
      <c r="G18" s="15">
        <f>Table12526[[#This Row],[Column10]]/Table12526[[#This Row],[Column2]]*100</f>
        <v>26.827933450087567</v>
      </c>
      <c r="H18">
        <v>9</v>
      </c>
      <c r="K18">
        <f>Table12526[[#This Row],[Column5]]/Table12526[[#This Row],[Column2]]*100</f>
        <v>0</v>
      </c>
      <c r="M18" t="e">
        <f>Table12526[[#This Row],[Column10]]/Table12526[[#This Row],[Column5]]*100</f>
        <v>#DIV/0!</v>
      </c>
      <c r="O18">
        <v>3063.75</v>
      </c>
      <c r="P18" s="3">
        <v>2</v>
      </c>
      <c r="Q18" s="4" t="s">
        <v>37</v>
      </c>
      <c r="S18" s="4" t="s">
        <v>37</v>
      </c>
      <c r="T18" s="15">
        <v>26.827933450087567</v>
      </c>
      <c r="W18" s="7" t="s">
        <v>231</v>
      </c>
      <c r="X18" s="2">
        <v>9</v>
      </c>
      <c r="Y18" s="7">
        <v>165.5</v>
      </c>
      <c r="Z18" s="7">
        <v>3.8</v>
      </c>
      <c r="AA18">
        <f t="shared" si="0"/>
        <v>628.9</v>
      </c>
    </row>
    <row r="19" spans="4:27" x14ac:dyDescent="0.2">
      <c r="E19">
        <v>2015</v>
      </c>
      <c r="F19">
        <v>874.3</v>
      </c>
      <c r="G19" s="15">
        <f>Table12526[[#This Row],[Column10]]/Table12526[[#This Row],[Column2]]*100</f>
        <v>19.078119638568001</v>
      </c>
      <c r="H19">
        <v>10</v>
      </c>
      <c r="K19">
        <f>Table12526[[#This Row],[Column5]]/Table12526[[#This Row],[Column2]]*100</f>
        <v>0</v>
      </c>
      <c r="M19" t="e">
        <f>Table12526[[#This Row],[Column10]]/Table12526[[#This Row],[Column5]]*100</f>
        <v>#DIV/0!</v>
      </c>
      <c r="O19">
        <v>166.8</v>
      </c>
      <c r="P19" s="3">
        <v>4</v>
      </c>
      <c r="Q19" s="4" t="s">
        <v>28</v>
      </c>
      <c r="S19" s="4" t="s">
        <v>28</v>
      </c>
      <c r="T19" s="15">
        <v>19.078119638568001</v>
      </c>
      <c r="W19" s="4" t="s">
        <v>232</v>
      </c>
      <c r="X19" s="3">
        <v>10</v>
      </c>
      <c r="Y19" s="4">
        <v>164.9</v>
      </c>
      <c r="Z19" s="4">
        <v>11.7</v>
      </c>
      <c r="AA19">
        <f t="shared" si="0"/>
        <v>1929.33</v>
      </c>
    </row>
    <row r="20" spans="4:27" x14ac:dyDescent="0.2">
      <c r="E20">
        <v>2015</v>
      </c>
      <c r="F20">
        <v>3150</v>
      </c>
      <c r="G20" s="15">
        <f>Table12526[[#This Row],[Column10]]/Table12526[[#This Row],[Column2]]*100</f>
        <v>16.166666666666664</v>
      </c>
      <c r="H20">
        <v>11</v>
      </c>
      <c r="K20">
        <f>Table12526[[#This Row],[Column5]]/Table12526[[#This Row],[Column2]]*100</f>
        <v>0</v>
      </c>
      <c r="M20" t="e">
        <f>Table12526[[#This Row],[Column10]]/Table12526[[#This Row],[Column5]]*100</f>
        <v>#DIV/0!</v>
      </c>
      <c r="O20">
        <v>509.25</v>
      </c>
      <c r="P20" s="2">
        <v>13</v>
      </c>
      <c r="Q20" s="7" t="s">
        <v>233</v>
      </c>
      <c r="S20" s="7" t="s">
        <v>233</v>
      </c>
      <c r="T20" s="15">
        <v>16.166666666666664</v>
      </c>
      <c r="W20" s="7" t="s">
        <v>86</v>
      </c>
      <c r="X20" s="2">
        <v>11</v>
      </c>
      <c r="Y20" s="7">
        <v>163.9</v>
      </c>
      <c r="Z20" s="7">
        <v>0.6</v>
      </c>
      <c r="AA20">
        <f t="shared" si="0"/>
        <v>98.34</v>
      </c>
    </row>
    <row r="21" spans="4:27" x14ac:dyDescent="0.2">
      <c r="E21">
        <v>2015</v>
      </c>
      <c r="F21">
        <v>1800</v>
      </c>
      <c r="G21" s="15">
        <f>Table12526[[#This Row],[Column10]]/Table12526[[#This Row],[Column2]]*100</f>
        <v>13.586666666666666</v>
      </c>
      <c r="H21">
        <v>12</v>
      </c>
      <c r="K21">
        <f>Table12526[[#This Row],[Column5]]/Table12526[[#This Row],[Column2]]*100</f>
        <v>0</v>
      </c>
      <c r="M21" t="e">
        <f>Table12526[[#This Row],[Column10]]/Table12526[[#This Row],[Column5]]*100</f>
        <v>#DIV/0!</v>
      </c>
      <c r="O21">
        <v>244.56</v>
      </c>
      <c r="P21" s="2">
        <v>5</v>
      </c>
      <c r="Q21" s="7" t="s">
        <v>26</v>
      </c>
      <c r="S21" s="7" t="s">
        <v>26</v>
      </c>
      <c r="T21" s="15">
        <v>13.586666666666666</v>
      </c>
      <c r="W21" s="4" t="s">
        <v>31</v>
      </c>
      <c r="X21" s="3">
        <v>12</v>
      </c>
      <c r="Y21" s="4">
        <v>152.5</v>
      </c>
      <c r="Z21" s="4">
        <v>31.3</v>
      </c>
      <c r="AA21">
        <f t="shared" si="0"/>
        <v>4773.25</v>
      </c>
    </row>
    <row r="22" spans="4:27" x14ac:dyDescent="0.2">
      <c r="E22">
        <v>2015</v>
      </c>
      <c r="F22">
        <v>9363</v>
      </c>
      <c r="G22" s="15">
        <f>Table12526[[#This Row],[Column10]]/Table12526[[#This Row],[Column2]]*100</f>
        <v>6.7168642529103915</v>
      </c>
      <c r="H22">
        <v>13</v>
      </c>
      <c r="K22">
        <f>Table12526[[#This Row],[Column5]]/Table12526[[#This Row],[Column2]]*100</f>
        <v>0</v>
      </c>
      <c r="M22" t="e">
        <f>Table12526[[#This Row],[Column10]]/Table12526[[#This Row],[Column5]]*100</f>
        <v>#DIV/0!</v>
      </c>
      <c r="O22">
        <v>628.9</v>
      </c>
      <c r="P22" s="2">
        <v>9</v>
      </c>
      <c r="Q22" s="7" t="s">
        <v>231</v>
      </c>
      <c r="S22" s="7" t="s">
        <v>231</v>
      </c>
      <c r="T22" s="15">
        <v>6.7168642529103915</v>
      </c>
      <c r="W22" s="7" t="s">
        <v>233</v>
      </c>
      <c r="X22" s="2">
        <v>13</v>
      </c>
      <c r="Y22" s="7">
        <v>145.5</v>
      </c>
      <c r="Z22" s="7">
        <v>3.5</v>
      </c>
      <c r="AA22">
        <f t="shared" si="0"/>
        <v>509.25</v>
      </c>
    </row>
    <row r="23" spans="4:27" x14ac:dyDescent="0.2">
      <c r="E23">
        <v>2015</v>
      </c>
      <c r="F23">
        <v>14890</v>
      </c>
      <c r="G23" s="15">
        <f>Table12526[[#This Row],[Column10]]/Table12526[[#This Row],[Column2]]*100</f>
        <v>6.0543989254533237</v>
      </c>
      <c r="H23">
        <v>14</v>
      </c>
      <c r="K23">
        <f>Table12526[[#This Row],[Column5]]/Table12526[[#This Row],[Column2]]*100</f>
        <v>0</v>
      </c>
      <c r="M23" t="e">
        <f>Table12526[[#This Row],[Column10]]/Table12526[[#This Row],[Column5]]*100</f>
        <v>#DIV/0!</v>
      </c>
      <c r="O23">
        <v>901.5</v>
      </c>
      <c r="P23" s="2">
        <v>7</v>
      </c>
      <c r="Q23" s="7" t="s">
        <v>63</v>
      </c>
      <c r="S23" s="7" t="s">
        <v>63</v>
      </c>
      <c r="T23" s="15">
        <v>6.0543989254533237</v>
      </c>
      <c r="W23" s="4" t="s">
        <v>234</v>
      </c>
      <c r="X23" s="3">
        <v>14</v>
      </c>
      <c r="Y23" s="4">
        <v>144.19999999999999</v>
      </c>
      <c r="Z23" s="4">
        <v>6.2</v>
      </c>
      <c r="AA23">
        <f t="shared" si="0"/>
        <v>894.04</v>
      </c>
    </row>
    <row r="24" spans="4:27" ht="34" x14ac:dyDescent="0.2">
      <c r="E24">
        <v>2015</v>
      </c>
      <c r="F24">
        <v>1630</v>
      </c>
      <c r="G24" s="15">
        <f>Table12526[[#This Row],[Column10]]/Table12526[[#This Row],[Column2]]*100</f>
        <v>6.0331288343558285</v>
      </c>
      <c r="H24">
        <v>15</v>
      </c>
      <c r="K24">
        <f>Table12526[[#This Row],[Column5]]/Table12526[[#This Row],[Column2]]*100</f>
        <v>0</v>
      </c>
      <c r="M24" t="e">
        <f>Table12526[[#This Row],[Column10]]/Table12526[[#This Row],[Column5]]*100</f>
        <v>#DIV/0!</v>
      </c>
      <c r="O24">
        <v>98.34</v>
      </c>
      <c r="P24" s="2">
        <v>11</v>
      </c>
      <c r="Q24" s="7" t="s">
        <v>86</v>
      </c>
      <c r="S24" s="7" t="s">
        <v>86</v>
      </c>
      <c r="T24" s="15">
        <v>6.0331288343558285</v>
      </c>
      <c r="W24" s="10" t="s">
        <v>235</v>
      </c>
      <c r="X24" s="2">
        <v>15</v>
      </c>
      <c r="Y24" s="10">
        <v>127</v>
      </c>
      <c r="Z24" s="7">
        <v>4.7</v>
      </c>
      <c r="AA24">
        <f t="shared" si="0"/>
        <v>596.9</v>
      </c>
    </row>
    <row r="25" spans="4:27" x14ac:dyDescent="0.2">
      <c r="T25" s="37"/>
    </row>
    <row r="28" spans="4:27" x14ac:dyDescent="0.2">
      <c r="D28" t="s">
        <v>240</v>
      </c>
    </row>
  </sheetData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7:L19"/>
  <sheetViews>
    <sheetView workbookViewId="0">
      <selection activeCell="L11" sqref="L11"/>
    </sheetView>
  </sheetViews>
  <sheetFormatPr baseColWidth="10" defaultRowHeight="16" x14ac:dyDescent="0.2"/>
  <sheetData>
    <row r="7" spans="2:12" x14ac:dyDescent="0.2">
      <c r="B7" t="s">
        <v>169</v>
      </c>
      <c r="L7" s="15">
        <f>AVERAGE('1994:2012'!H30)</f>
        <v>164.57993419706375</v>
      </c>
    </row>
    <row r="8" spans="2:12" x14ac:dyDescent="0.2">
      <c r="B8" t="s">
        <v>178</v>
      </c>
    </row>
    <row r="11" spans="2:12" x14ac:dyDescent="0.2">
      <c r="B11" t="s">
        <v>171</v>
      </c>
      <c r="L11" s="15">
        <f>AVERAGE('1994:2012'!I30)</f>
        <v>213.26089268570985</v>
      </c>
    </row>
    <row r="12" spans="2:12" x14ac:dyDescent="0.2">
      <c r="B12" t="s">
        <v>179</v>
      </c>
    </row>
    <row r="17" spans="2:12" x14ac:dyDescent="0.2">
      <c r="B17" t="s">
        <v>170</v>
      </c>
      <c r="L17" s="24">
        <v>0.28000000000000003</v>
      </c>
    </row>
    <row r="19" spans="2:12" x14ac:dyDescent="0.2">
      <c r="B19" t="s">
        <v>209</v>
      </c>
      <c r="L19">
        <v>3.5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B6:AD89"/>
  <sheetViews>
    <sheetView tabSelected="1" topLeftCell="B4" workbookViewId="0">
      <selection activeCell="AC13" sqref="AC13:AD27"/>
    </sheetView>
  </sheetViews>
  <sheetFormatPr baseColWidth="10" defaultRowHeight="16" x14ac:dyDescent="0.2"/>
  <cols>
    <col min="2" max="4" width="11" customWidth="1"/>
    <col min="5" max="5" width="8" customWidth="1"/>
    <col min="6" max="6" width="8.1640625" customWidth="1"/>
    <col min="7" max="7" width="8.5" customWidth="1"/>
    <col min="8" max="8" width="7.5" customWidth="1"/>
    <col min="9" max="9" width="7.6640625" customWidth="1"/>
    <col min="10" max="10" width="7.33203125" customWidth="1"/>
    <col min="11" max="11" width="8.33203125" customWidth="1"/>
    <col min="12" max="13" width="8.6640625" customWidth="1"/>
    <col min="14" max="14" width="9" customWidth="1"/>
    <col min="15" max="15" width="10.6640625" customWidth="1"/>
    <col min="16" max="16" width="8.6640625" customWidth="1"/>
    <col min="17" max="17" width="9.1640625" customWidth="1"/>
    <col min="18" max="18" width="9.6640625" customWidth="1"/>
    <col min="19" max="21" width="8.6640625" customWidth="1"/>
    <col min="22" max="22" width="9.83203125" customWidth="1"/>
    <col min="23" max="25" width="12" customWidth="1"/>
    <col min="26" max="26" width="12.5" customWidth="1"/>
    <col min="27" max="27" width="12" customWidth="1"/>
  </cols>
  <sheetData>
    <row r="6" spans="2:30" x14ac:dyDescent="0.2">
      <c r="E6" t="s">
        <v>206</v>
      </c>
    </row>
    <row r="10" spans="2:30" ht="68" x14ac:dyDescent="0.2">
      <c r="D10" s="1" t="s">
        <v>180</v>
      </c>
      <c r="E10">
        <v>1994</v>
      </c>
      <c r="F10">
        <v>1995</v>
      </c>
      <c r="G10">
        <v>1996</v>
      </c>
      <c r="H10">
        <v>1997</v>
      </c>
      <c r="I10">
        <v>1998</v>
      </c>
      <c r="J10">
        <v>1999</v>
      </c>
      <c r="K10">
        <v>2000</v>
      </c>
      <c r="L10">
        <v>2001</v>
      </c>
      <c r="M10">
        <v>2002</v>
      </c>
      <c r="N10">
        <v>2003</v>
      </c>
      <c r="O10">
        <v>2004</v>
      </c>
      <c r="P10">
        <v>2005</v>
      </c>
      <c r="Q10">
        <v>2006</v>
      </c>
      <c r="R10">
        <v>2007</v>
      </c>
      <c r="S10">
        <v>2008</v>
      </c>
      <c r="T10">
        <v>2009</v>
      </c>
      <c r="U10">
        <v>2010</v>
      </c>
      <c r="V10">
        <v>2011</v>
      </c>
      <c r="W10">
        <v>2012</v>
      </c>
      <c r="X10">
        <v>2013</v>
      </c>
      <c r="Y10">
        <v>2014</v>
      </c>
      <c r="Z10" s="1" t="s">
        <v>181</v>
      </c>
    </row>
    <row r="12" spans="2:30" ht="17" x14ac:dyDescent="0.2">
      <c r="B12" t="s">
        <v>0</v>
      </c>
      <c r="C12" s="1" t="s">
        <v>1</v>
      </c>
      <c r="D12" s="1" t="s">
        <v>2</v>
      </c>
      <c r="E12" t="s">
        <v>3</v>
      </c>
      <c r="F12" t="s">
        <v>4</v>
      </c>
      <c r="G12" t="s">
        <v>5</v>
      </c>
      <c r="H12" t="s">
        <v>6</v>
      </c>
      <c r="I12" t="s">
        <v>7</v>
      </c>
      <c r="J12" t="s">
        <v>8</v>
      </c>
      <c r="K12" t="s">
        <v>9</v>
      </c>
      <c r="L12" t="s">
        <v>20</v>
      </c>
      <c r="M12" t="s">
        <v>182</v>
      </c>
      <c r="N12" t="s">
        <v>183</v>
      </c>
      <c r="O12" t="s">
        <v>184</v>
      </c>
      <c r="P12" t="s">
        <v>185</v>
      </c>
      <c r="Q12" t="s">
        <v>186</v>
      </c>
      <c r="R12" t="s">
        <v>187</v>
      </c>
      <c r="S12" t="s">
        <v>188</v>
      </c>
      <c r="T12" t="s">
        <v>189</v>
      </c>
      <c r="U12" t="s">
        <v>190</v>
      </c>
      <c r="V12" t="s">
        <v>191</v>
      </c>
      <c r="W12" t="s">
        <v>192</v>
      </c>
      <c r="X12" t="s">
        <v>193</v>
      </c>
      <c r="Y12" t="s">
        <v>249</v>
      </c>
      <c r="Z12" t="s">
        <v>194</v>
      </c>
      <c r="AA12" t="s">
        <v>195</v>
      </c>
    </row>
    <row r="13" spans="2:30" x14ac:dyDescent="0.2">
      <c r="B13">
        <v>1</v>
      </c>
      <c r="C13" s="25" t="s">
        <v>23</v>
      </c>
      <c r="D13" s="1">
        <v>21</v>
      </c>
      <c r="E13">
        <v>4</v>
      </c>
      <c r="F13">
        <v>6</v>
      </c>
      <c r="G13">
        <v>4</v>
      </c>
      <c r="H13">
        <v>5</v>
      </c>
      <c r="I13">
        <v>2</v>
      </c>
      <c r="J13">
        <v>7</v>
      </c>
      <c r="K13">
        <v>4</v>
      </c>
      <c r="L13">
        <v>3</v>
      </c>
      <c r="M13">
        <v>3</v>
      </c>
      <c r="N13">
        <v>3</v>
      </c>
      <c r="O13">
        <v>2</v>
      </c>
      <c r="P13">
        <v>2</v>
      </c>
      <c r="Q13">
        <v>4</v>
      </c>
      <c r="R13">
        <v>3</v>
      </c>
      <c r="S13">
        <v>3</v>
      </c>
      <c r="T13">
        <v>2</v>
      </c>
      <c r="U13">
        <v>3</v>
      </c>
      <c r="V13">
        <v>4</v>
      </c>
      <c r="W13">
        <v>3</v>
      </c>
      <c r="X13">
        <v>4</v>
      </c>
      <c r="Y13">
        <v>7</v>
      </c>
      <c r="Z13">
        <v>258</v>
      </c>
      <c r="AC13" s="32" t="s">
        <v>23</v>
      </c>
      <c r="AD13">
        <v>258</v>
      </c>
    </row>
    <row r="14" spans="2:30" x14ac:dyDescent="0.2">
      <c r="B14">
        <v>3</v>
      </c>
      <c r="C14" t="s">
        <v>43</v>
      </c>
      <c r="D14">
        <v>13</v>
      </c>
      <c r="E14">
        <v>5</v>
      </c>
      <c r="F14">
        <v>4</v>
      </c>
      <c r="G14">
        <v>3</v>
      </c>
      <c r="H14">
        <v>3</v>
      </c>
      <c r="I14">
        <v>1</v>
      </c>
      <c r="J14">
        <v>2</v>
      </c>
      <c r="K14">
        <v>3</v>
      </c>
      <c r="L14">
        <v>2</v>
      </c>
      <c r="M14" s="26"/>
      <c r="N14">
        <v>2</v>
      </c>
      <c r="O14">
        <v>1</v>
      </c>
      <c r="P14">
        <v>8</v>
      </c>
      <c r="Q14">
        <v>5</v>
      </c>
      <c r="R14">
        <v>4</v>
      </c>
      <c r="S14" s="26"/>
      <c r="T14" s="26"/>
      <c r="U14" s="26"/>
      <c r="V14" s="26"/>
      <c r="Z14">
        <v>165</v>
      </c>
      <c r="AC14" s="4" t="s">
        <v>43</v>
      </c>
      <c r="AD14">
        <v>165</v>
      </c>
    </row>
    <row r="15" spans="2:30" x14ac:dyDescent="0.2">
      <c r="B15">
        <v>19</v>
      </c>
      <c r="C15" t="s">
        <v>31</v>
      </c>
      <c r="D15">
        <v>8</v>
      </c>
      <c r="Q15">
        <v>1</v>
      </c>
      <c r="R15">
        <v>1</v>
      </c>
      <c r="T15">
        <v>1</v>
      </c>
      <c r="U15">
        <v>2</v>
      </c>
      <c r="V15">
        <v>1</v>
      </c>
      <c r="W15">
        <v>1</v>
      </c>
      <c r="X15">
        <v>1</v>
      </c>
      <c r="Y15">
        <v>4</v>
      </c>
      <c r="Z15">
        <v>116</v>
      </c>
      <c r="AC15" s="7" t="s">
        <v>31</v>
      </c>
      <c r="AD15">
        <v>116</v>
      </c>
    </row>
    <row r="16" spans="2:30" x14ac:dyDescent="0.2">
      <c r="B16">
        <v>7</v>
      </c>
      <c r="C16" t="s">
        <v>53</v>
      </c>
      <c r="D16">
        <v>11</v>
      </c>
      <c r="F16">
        <v>9</v>
      </c>
      <c r="H16">
        <v>4</v>
      </c>
      <c r="I16">
        <v>3</v>
      </c>
      <c r="J16">
        <v>5</v>
      </c>
      <c r="K16">
        <v>1</v>
      </c>
      <c r="L16">
        <v>6</v>
      </c>
      <c r="N16">
        <v>5</v>
      </c>
      <c r="O16">
        <v>6</v>
      </c>
      <c r="P16">
        <v>7</v>
      </c>
      <c r="W16">
        <v>9</v>
      </c>
      <c r="X16">
        <v>11</v>
      </c>
      <c r="Z16">
        <v>110</v>
      </c>
      <c r="AC16" s="4" t="s">
        <v>53</v>
      </c>
      <c r="AD16">
        <v>110</v>
      </c>
    </row>
    <row r="17" spans="2:30" x14ac:dyDescent="0.2">
      <c r="B17">
        <v>10</v>
      </c>
      <c r="C17" t="s">
        <v>44</v>
      </c>
      <c r="D17">
        <v>8</v>
      </c>
      <c r="E17">
        <v>6</v>
      </c>
      <c r="F17">
        <v>5</v>
      </c>
      <c r="G17">
        <v>2</v>
      </c>
      <c r="H17">
        <v>2</v>
      </c>
      <c r="J17">
        <v>3</v>
      </c>
      <c r="L17">
        <v>4</v>
      </c>
      <c r="M17">
        <v>4</v>
      </c>
      <c r="R17">
        <v>6</v>
      </c>
      <c r="Z17">
        <v>96</v>
      </c>
      <c r="AC17" s="7" t="s">
        <v>44</v>
      </c>
      <c r="AD17">
        <v>96</v>
      </c>
    </row>
    <row r="18" spans="2:30" x14ac:dyDescent="0.2">
      <c r="B18">
        <v>2</v>
      </c>
      <c r="C18" t="s">
        <v>37</v>
      </c>
      <c r="D18">
        <v>16</v>
      </c>
      <c r="E18">
        <v>9</v>
      </c>
      <c r="F18" s="26"/>
      <c r="G18">
        <v>9</v>
      </c>
      <c r="H18">
        <v>7</v>
      </c>
      <c r="J18">
        <v>9</v>
      </c>
      <c r="K18">
        <v>11</v>
      </c>
      <c r="L18">
        <v>14</v>
      </c>
      <c r="M18">
        <v>11</v>
      </c>
      <c r="N18">
        <v>7</v>
      </c>
      <c r="O18">
        <v>10</v>
      </c>
      <c r="P18">
        <v>14</v>
      </c>
      <c r="Q18">
        <v>11</v>
      </c>
      <c r="R18" s="26"/>
      <c r="S18" s="26"/>
      <c r="T18" s="26"/>
      <c r="U18">
        <v>13</v>
      </c>
      <c r="V18">
        <v>12</v>
      </c>
      <c r="W18">
        <v>8</v>
      </c>
      <c r="X18">
        <v>8</v>
      </c>
      <c r="Y18">
        <v>9</v>
      </c>
      <c r="Z18">
        <v>94</v>
      </c>
      <c r="AC18" s="4" t="s">
        <v>37</v>
      </c>
      <c r="AD18">
        <v>94</v>
      </c>
    </row>
    <row r="19" spans="2:30" x14ac:dyDescent="0.2">
      <c r="B19">
        <v>18</v>
      </c>
      <c r="C19" t="s">
        <v>26</v>
      </c>
      <c r="D19">
        <v>9</v>
      </c>
      <c r="P19">
        <v>3</v>
      </c>
      <c r="Q19">
        <v>2</v>
      </c>
      <c r="R19">
        <v>2</v>
      </c>
      <c r="T19">
        <v>6</v>
      </c>
      <c r="U19">
        <v>8</v>
      </c>
      <c r="V19">
        <v>11</v>
      </c>
      <c r="W19">
        <v>7</v>
      </c>
      <c r="X19">
        <v>9</v>
      </c>
      <c r="Y19">
        <v>12</v>
      </c>
      <c r="Z19">
        <v>84</v>
      </c>
      <c r="AC19" s="7" t="s">
        <v>26</v>
      </c>
      <c r="AD19">
        <v>84</v>
      </c>
    </row>
    <row r="20" spans="2:30" x14ac:dyDescent="0.2">
      <c r="B20">
        <v>4</v>
      </c>
      <c r="C20" t="s">
        <v>196</v>
      </c>
      <c r="D20">
        <v>13</v>
      </c>
      <c r="E20">
        <v>13</v>
      </c>
      <c r="F20">
        <v>11</v>
      </c>
      <c r="G20">
        <v>6</v>
      </c>
      <c r="H20">
        <v>8</v>
      </c>
      <c r="I20">
        <v>9</v>
      </c>
      <c r="J20">
        <v>12</v>
      </c>
      <c r="K20">
        <v>14</v>
      </c>
      <c r="L20" s="26"/>
      <c r="M20" s="26"/>
      <c r="N20" s="26"/>
      <c r="O20" s="26"/>
      <c r="P20">
        <v>5</v>
      </c>
      <c r="Q20">
        <v>9</v>
      </c>
      <c r="R20">
        <v>7</v>
      </c>
      <c r="T20">
        <v>12</v>
      </c>
      <c r="U20">
        <v>14</v>
      </c>
      <c r="V20">
        <v>13</v>
      </c>
      <c r="Z20">
        <v>75</v>
      </c>
      <c r="AC20" s="4" t="s">
        <v>196</v>
      </c>
      <c r="AD20">
        <v>75</v>
      </c>
    </row>
    <row r="21" spans="2:30" x14ac:dyDescent="0.2">
      <c r="B21">
        <v>5</v>
      </c>
      <c r="C21" t="s">
        <v>58</v>
      </c>
      <c r="D21">
        <v>15</v>
      </c>
      <c r="I21">
        <v>14</v>
      </c>
      <c r="J21">
        <v>6</v>
      </c>
      <c r="K21">
        <v>6</v>
      </c>
      <c r="L21">
        <v>10</v>
      </c>
      <c r="M21">
        <v>10</v>
      </c>
      <c r="N21">
        <v>10</v>
      </c>
      <c r="O21">
        <v>9</v>
      </c>
      <c r="P21">
        <v>13</v>
      </c>
      <c r="Q21">
        <v>14</v>
      </c>
      <c r="R21">
        <v>13</v>
      </c>
      <c r="W21">
        <v>11</v>
      </c>
      <c r="X21">
        <v>14</v>
      </c>
      <c r="Y21">
        <v>13</v>
      </c>
      <c r="Z21">
        <v>65</v>
      </c>
      <c r="AC21" s="7" t="s">
        <v>58</v>
      </c>
      <c r="AD21">
        <v>65</v>
      </c>
    </row>
    <row r="22" spans="2:30" x14ac:dyDescent="0.2">
      <c r="B22">
        <v>21</v>
      </c>
      <c r="C22" s="27" t="s">
        <v>67</v>
      </c>
      <c r="D22">
        <v>5</v>
      </c>
      <c r="K22">
        <v>2</v>
      </c>
      <c r="L22">
        <v>5</v>
      </c>
      <c r="M22">
        <v>5</v>
      </c>
      <c r="N22">
        <v>4</v>
      </c>
      <c r="O22">
        <v>4</v>
      </c>
      <c r="Z22">
        <v>60</v>
      </c>
      <c r="AC22" s="11" t="s">
        <v>67</v>
      </c>
      <c r="AD22">
        <v>60</v>
      </c>
    </row>
    <row r="23" spans="2:30" x14ac:dyDescent="0.2">
      <c r="B23">
        <v>34</v>
      </c>
      <c r="C23" s="17" t="s">
        <v>25</v>
      </c>
      <c r="D23" s="17">
        <v>6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>
        <v>3</v>
      </c>
      <c r="U23" s="17">
        <v>9</v>
      </c>
      <c r="V23" s="17">
        <v>6</v>
      </c>
      <c r="W23">
        <v>4</v>
      </c>
      <c r="X23">
        <v>6</v>
      </c>
      <c r="Y23">
        <v>8</v>
      </c>
      <c r="Z23">
        <v>60</v>
      </c>
      <c r="AC23" s="7" t="s">
        <v>25</v>
      </c>
      <c r="AD23">
        <v>60</v>
      </c>
    </row>
    <row r="24" spans="2:30" x14ac:dyDescent="0.2">
      <c r="B24">
        <v>24</v>
      </c>
      <c r="C24" t="s">
        <v>32</v>
      </c>
      <c r="D24">
        <v>7</v>
      </c>
      <c r="S24">
        <v>15</v>
      </c>
      <c r="U24">
        <v>15</v>
      </c>
      <c r="V24">
        <v>2</v>
      </c>
      <c r="W24">
        <v>2</v>
      </c>
      <c r="X24">
        <v>2</v>
      </c>
      <c r="Y24">
        <v>2</v>
      </c>
      <c r="Z24">
        <v>58</v>
      </c>
      <c r="AC24" s="4" t="s">
        <v>32</v>
      </c>
      <c r="AD24">
        <v>58</v>
      </c>
    </row>
    <row r="25" spans="2:30" x14ac:dyDescent="0.2">
      <c r="B25">
        <v>6</v>
      </c>
      <c r="C25" t="s">
        <v>64</v>
      </c>
      <c r="D25">
        <v>10</v>
      </c>
      <c r="J25">
        <v>10</v>
      </c>
      <c r="K25">
        <v>7</v>
      </c>
      <c r="L25">
        <v>11</v>
      </c>
      <c r="M25">
        <v>9</v>
      </c>
      <c r="N25">
        <v>11</v>
      </c>
      <c r="O25">
        <v>8</v>
      </c>
      <c r="P25">
        <v>9</v>
      </c>
      <c r="Q25">
        <v>12</v>
      </c>
      <c r="R25">
        <v>12</v>
      </c>
      <c r="X25">
        <v>13</v>
      </c>
      <c r="Z25">
        <v>58</v>
      </c>
      <c r="AC25" s="7" t="s">
        <v>64</v>
      </c>
      <c r="AD25">
        <v>58</v>
      </c>
    </row>
    <row r="26" spans="2:30" x14ac:dyDescent="0.2">
      <c r="B26">
        <v>15</v>
      </c>
      <c r="C26" t="s">
        <v>24</v>
      </c>
      <c r="D26">
        <v>6</v>
      </c>
      <c r="Q26">
        <v>7</v>
      </c>
      <c r="R26">
        <v>8</v>
      </c>
      <c r="S26">
        <v>5</v>
      </c>
      <c r="T26">
        <v>7</v>
      </c>
      <c r="U26">
        <v>7</v>
      </c>
      <c r="V26">
        <v>5</v>
      </c>
      <c r="Z26">
        <v>57</v>
      </c>
      <c r="AC26" s="4" t="s">
        <v>24</v>
      </c>
      <c r="AD26">
        <v>57</v>
      </c>
    </row>
    <row r="27" spans="2:30" x14ac:dyDescent="0.2">
      <c r="B27">
        <v>25</v>
      </c>
      <c r="C27" t="s">
        <v>48</v>
      </c>
      <c r="D27">
        <v>4</v>
      </c>
      <c r="E27">
        <v>3</v>
      </c>
      <c r="F27">
        <v>2</v>
      </c>
      <c r="G27">
        <v>1</v>
      </c>
      <c r="H27">
        <v>1</v>
      </c>
      <c r="Z27">
        <v>57</v>
      </c>
      <c r="AC27" s="7" t="s">
        <v>48</v>
      </c>
      <c r="AD27">
        <v>57</v>
      </c>
    </row>
    <row r="28" spans="2:30" x14ac:dyDescent="0.2">
      <c r="B28">
        <v>12</v>
      </c>
      <c r="C28" t="s">
        <v>51</v>
      </c>
      <c r="D28">
        <v>7</v>
      </c>
      <c r="F28">
        <v>7</v>
      </c>
      <c r="G28">
        <v>8</v>
      </c>
      <c r="H28">
        <v>6</v>
      </c>
      <c r="I28">
        <v>5</v>
      </c>
      <c r="J28">
        <v>11</v>
      </c>
      <c r="L28">
        <v>12</v>
      </c>
      <c r="N28">
        <v>8</v>
      </c>
      <c r="Z28">
        <v>55</v>
      </c>
    </row>
    <row r="29" spans="2:30" x14ac:dyDescent="0.2">
      <c r="B29">
        <v>9</v>
      </c>
      <c r="C29" t="s">
        <v>61</v>
      </c>
      <c r="D29">
        <v>8</v>
      </c>
      <c r="I29">
        <v>4</v>
      </c>
      <c r="J29">
        <v>4</v>
      </c>
      <c r="K29">
        <v>10</v>
      </c>
      <c r="L29">
        <v>13</v>
      </c>
      <c r="N29">
        <v>9</v>
      </c>
      <c r="O29">
        <v>12</v>
      </c>
      <c r="P29">
        <v>12</v>
      </c>
      <c r="Q29">
        <v>10</v>
      </c>
      <c r="Z29">
        <v>54</v>
      </c>
    </row>
    <row r="30" spans="2:30" ht="34" x14ac:dyDescent="0.2">
      <c r="B30">
        <v>8</v>
      </c>
      <c r="C30" s="1" t="s">
        <v>207</v>
      </c>
      <c r="D30">
        <v>9</v>
      </c>
      <c r="E30">
        <v>10</v>
      </c>
      <c r="G30">
        <v>5</v>
      </c>
      <c r="H30">
        <v>9</v>
      </c>
      <c r="I30">
        <v>8</v>
      </c>
      <c r="J30">
        <v>14</v>
      </c>
      <c r="K30">
        <v>9</v>
      </c>
      <c r="L30">
        <v>15</v>
      </c>
      <c r="M30">
        <v>12</v>
      </c>
      <c r="N30">
        <v>14</v>
      </c>
      <c r="Z30">
        <v>48</v>
      </c>
    </row>
    <row r="31" spans="2:30" x14ac:dyDescent="0.2">
      <c r="B31">
        <v>22</v>
      </c>
      <c r="C31" s="27" t="s">
        <v>75</v>
      </c>
      <c r="D31">
        <v>5</v>
      </c>
      <c r="K31">
        <v>5</v>
      </c>
      <c r="L31">
        <v>8</v>
      </c>
      <c r="M31">
        <v>8</v>
      </c>
      <c r="N31">
        <v>6</v>
      </c>
      <c r="O31">
        <v>5</v>
      </c>
      <c r="Z31">
        <v>48</v>
      </c>
    </row>
    <row r="32" spans="2:30" x14ac:dyDescent="0.2">
      <c r="B32">
        <v>11</v>
      </c>
      <c r="C32" t="s">
        <v>47</v>
      </c>
      <c r="D32">
        <v>8</v>
      </c>
      <c r="E32">
        <v>11</v>
      </c>
      <c r="F32">
        <v>8</v>
      </c>
      <c r="G32">
        <v>10</v>
      </c>
      <c r="H32">
        <v>10</v>
      </c>
      <c r="I32">
        <v>6</v>
      </c>
      <c r="J32">
        <v>13</v>
      </c>
      <c r="K32">
        <v>12</v>
      </c>
      <c r="T32">
        <v>13</v>
      </c>
      <c r="Z32">
        <v>45</v>
      </c>
    </row>
    <row r="33" spans="2:26" x14ac:dyDescent="0.2">
      <c r="B33">
        <v>32</v>
      </c>
      <c r="C33" s="17" t="s">
        <v>35</v>
      </c>
      <c r="D33" s="17">
        <v>3</v>
      </c>
      <c r="E33" s="17">
        <v>1</v>
      </c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>
        <v>1</v>
      </c>
      <c r="V33" s="17">
        <v>3</v>
      </c>
      <c r="Z33">
        <v>43</v>
      </c>
    </row>
    <row r="34" spans="2:26" x14ac:dyDescent="0.2">
      <c r="B34">
        <v>27</v>
      </c>
      <c r="C34" t="s">
        <v>49</v>
      </c>
      <c r="D34">
        <v>4</v>
      </c>
      <c r="F34">
        <v>1</v>
      </c>
      <c r="O34">
        <v>3</v>
      </c>
      <c r="P34">
        <v>11</v>
      </c>
      <c r="Q34">
        <v>6</v>
      </c>
      <c r="Z34">
        <v>43</v>
      </c>
    </row>
    <row r="35" spans="2:26" x14ac:dyDescent="0.2">
      <c r="B35">
        <v>28</v>
      </c>
      <c r="C35" t="s">
        <v>42</v>
      </c>
      <c r="D35">
        <v>3</v>
      </c>
      <c r="E35">
        <v>8</v>
      </c>
      <c r="M35">
        <v>1</v>
      </c>
      <c r="N35">
        <v>1</v>
      </c>
      <c r="Z35">
        <v>38</v>
      </c>
    </row>
    <row r="36" spans="2:26" x14ac:dyDescent="0.2">
      <c r="B36">
        <v>14</v>
      </c>
      <c r="C36" t="s">
        <v>30</v>
      </c>
      <c r="D36">
        <v>6</v>
      </c>
      <c r="F36">
        <v>3</v>
      </c>
      <c r="J36">
        <v>8</v>
      </c>
      <c r="P36">
        <v>4</v>
      </c>
      <c r="T36">
        <v>11</v>
      </c>
      <c r="U36">
        <v>11</v>
      </c>
      <c r="V36">
        <v>10</v>
      </c>
      <c r="Z36">
        <v>36</v>
      </c>
    </row>
    <row r="37" spans="2:26" x14ac:dyDescent="0.2">
      <c r="B37">
        <v>33</v>
      </c>
      <c r="C37" t="s">
        <v>65</v>
      </c>
      <c r="D37">
        <v>3</v>
      </c>
      <c r="J37">
        <v>1</v>
      </c>
      <c r="L37">
        <v>1</v>
      </c>
      <c r="P37">
        <v>10</v>
      </c>
      <c r="Z37">
        <v>36</v>
      </c>
    </row>
    <row r="38" spans="2:26" x14ac:dyDescent="0.2">
      <c r="B38">
        <v>31</v>
      </c>
      <c r="C38" s="17" t="s">
        <v>28</v>
      </c>
      <c r="D38" s="17">
        <v>4</v>
      </c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>
        <v>5</v>
      </c>
      <c r="U38" s="17">
        <v>10</v>
      </c>
      <c r="V38" s="17">
        <v>9</v>
      </c>
      <c r="Y38">
        <v>10</v>
      </c>
      <c r="Z38">
        <v>30</v>
      </c>
    </row>
    <row r="39" spans="2:26" x14ac:dyDescent="0.2">
      <c r="B39">
        <v>71</v>
      </c>
      <c r="C39" t="s">
        <v>250</v>
      </c>
      <c r="D39">
        <v>2</v>
      </c>
      <c r="X39">
        <v>5</v>
      </c>
      <c r="Y39">
        <v>6</v>
      </c>
      <c r="Z39">
        <v>30</v>
      </c>
    </row>
    <row r="40" spans="2:26" x14ac:dyDescent="0.2">
      <c r="B40">
        <v>29</v>
      </c>
      <c r="C40" t="s">
        <v>106</v>
      </c>
      <c r="D40">
        <v>3</v>
      </c>
      <c r="M40">
        <v>6</v>
      </c>
      <c r="T40">
        <v>4</v>
      </c>
      <c r="V40">
        <v>7</v>
      </c>
      <c r="Z40">
        <v>29</v>
      </c>
    </row>
    <row r="41" spans="2:26" x14ac:dyDescent="0.2">
      <c r="B41">
        <v>26</v>
      </c>
      <c r="C41" s="25" t="s">
        <v>73</v>
      </c>
      <c r="D41">
        <v>4</v>
      </c>
      <c r="K41">
        <v>8</v>
      </c>
      <c r="L41">
        <v>9</v>
      </c>
      <c r="M41">
        <v>7</v>
      </c>
      <c r="N41">
        <v>12</v>
      </c>
      <c r="Z41">
        <v>28</v>
      </c>
    </row>
    <row r="42" spans="2:26" x14ac:dyDescent="0.2">
      <c r="B42">
        <v>40</v>
      </c>
      <c r="C42" s="27" t="s">
        <v>84</v>
      </c>
      <c r="D42">
        <v>2</v>
      </c>
      <c r="P42">
        <v>1</v>
      </c>
      <c r="U42">
        <v>6</v>
      </c>
      <c r="Z42">
        <v>25</v>
      </c>
    </row>
    <row r="43" spans="2:26" x14ac:dyDescent="0.2">
      <c r="B43">
        <v>52</v>
      </c>
      <c r="C43" s="17" t="s">
        <v>104</v>
      </c>
      <c r="D43" s="17">
        <v>2</v>
      </c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>
        <v>8</v>
      </c>
      <c r="U43" s="17"/>
      <c r="V43" s="17"/>
      <c r="W43">
        <v>5</v>
      </c>
      <c r="X43">
        <v>10</v>
      </c>
      <c r="Z43">
        <v>25</v>
      </c>
    </row>
    <row r="44" spans="2:26" x14ac:dyDescent="0.2">
      <c r="B44">
        <v>23</v>
      </c>
      <c r="C44" t="s">
        <v>80</v>
      </c>
      <c r="D44">
        <v>4</v>
      </c>
      <c r="O44">
        <v>11</v>
      </c>
      <c r="Q44">
        <v>8</v>
      </c>
      <c r="R44">
        <v>10</v>
      </c>
      <c r="S44">
        <v>10</v>
      </c>
      <c r="Z44">
        <v>25</v>
      </c>
    </row>
    <row r="45" spans="2:26" x14ac:dyDescent="0.2">
      <c r="B45">
        <v>17</v>
      </c>
      <c r="C45" t="s">
        <v>63</v>
      </c>
      <c r="D45">
        <v>9</v>
      </c>
      <c r="I45">
        <v>11</v>
      </c>
      <c r="M45">
        <v>14</v>
      </c>
      <c r="Q45">
        <v>13</v>
      </c>
      <c r="R45">
        <v>11</v>
      </c>
      <c r="S45">
        <v>13</v>
      </c>
      <c r="T45">
        <v>14</v>
      </c>
      <c r="W45">
        <v>14</v>
      </c>
      <c r="X45">
        <v>15</v>
      </c>
      <c r="Y45">
        <v>14</v>
      </c>
      <c r="Z45">
        <v>25</v>
      </c>
    </row>
    <row r="46" spans="2:26" x14ac:dyDescent="0.2">
      <c r="B46">
        <v>70</v>
      </c>
      <c r="C46" t="s">
        <v>214</v>
      </c>
      <c r="D46">
        <v>2</v>
      </c>
      <c r="W46" t="s">
        <v>120</v>
      </c>
      <c r="X46">
        <v>3</v>
      </c>
      <c r="Y46">
        <v>5</v>
      </c>
      <c r="Z46">
        <v>25</v>
      </c>
    </row>
    <row r="47" spans="2:26" x14ac:dyDescent="0.2">
      <c r="B47">
        <v>39</v>
      </c>
      <c r="C47" t="s">
        <v>87</v>
      </c>
      <c r="D47">
        <v>2</v>
      </c>
      <c r="Q47">
        <v>3</v>
      </c>
      <c r="R47">
        <v>5</v>
      </c>
      <c r="Z47">
        <v>24</v>
      </c>
    </row>
    <row r="48" spans="2:26" x14ac:dyDescent="0.2">
      <c r="B48">
        <v>69</v>
      </c>
      <c r="C48" t="s">
        <v>215</v>
      </c>
      <c r="D48">
        <v>2</v>
      </c>
      <c r="W48">
        <v>5</v>
      </c>
      <c r="X48">
        <v>7</v>
      </c>
      <c r="Z48">
        <v>20</v>
      </c>
    </row>
    <row r="49" spans="2:26" x14ac:dyDescent="0.2">
      <c r="B49">
        <v>41</v>
      </c>
      <c r="C49" t="s">
        <v>74</v>
      </c>
      <c r="D49">
        <v>2</v>
      </c>
      <c r="L49">
        <v>7</v>
      </c>
      <c r="P49">
        <v>6</v>
      </c>
      <c r="Z49">
        <v>19</v>
      </c>
    </row>
    <row r="50" spans="2:26" x14ac:dyDescent="0.2">
      <c r="B50">
        <v>20</v>
      </c>
      <c r="C50" t="s">
        <v>52</v>
      </c>
      <c r="D50">
        <v>5</v>
      </c>
      <c r="F50">
        <v>12</v>
      </c>
      <c r="H50">
        <v>11</v>
      </c>
      <c r="I50">
        <v>12</v>
      </c>
      <c r="M50">
        <v>15</v>
      </c>
      <c r="O50">
        <v>15</v>
      </c>
      <c r="Z50">
        <v>15</v>
      </c>
    </row>
    <row r="51" spans="2:26" x14ac:dyDescent="0.2">
      <c r="B51">
        <v>30</v>
      </c>
      <c r="C51" t="s">
        <v>40</v>
      </c>
      <c r="D51">
        <v>3</v>
      </c>
      <c r="E51">
        <v>12</v>
      </c>
      <c r="F51">
        <v>10</v>
      </c>
      <c r="G51">
        <v>11</v>
      </c>
      <c r="Z51">
        <v>15</v>
      </c>
    </row>
    <row r="52" spans="2:26" x14ac:dyDescent="0.2">
      <c r="B52">
        <v>16</v>
      </c>
      <c r="C52" s="25" t="s">
        <v>41</v>
      </c>
      <c r="D52" s="1">
        <v>6</v>
      </c>
      <c r="E52">
        <v>2</v>
      </c>
      <c r="F52">
        <v>15</v>
      </c>
      <c r="Z52">
        <v>15</v>
      </c>
    </row>
    <row r="53" spans="2:26" x14ac:dyDescent="0.2">
      <c r="B53">
        <v>13</v>
      </c>
      <c r="C53" t="s">
        <v>38</v>
      </c>
      <c r="D53">
        <v>7</v>
      </c>
      <c r="E53">
        <v>15</v>
      </c>
      <c r="F53">
        <v>13</v>
      </c>
      <c r="G53">
        <v>13</v>
      </c>
      <c r="H53">
        <v>13</v>
      </c>
      <c r="I53">
        <v>13</v>
      </c>
      <c r="J53">
        <v>15</v>
      </c>
      <c r="K53">
        <v>15</v>
      </c>
      <c r="Z53">
        <v>15</v>
      </c>
    </row>
    <row r="54" spans="2:26" x14ac:dyDescent="0.2">
      <c r="B54">
        <v>67</v>
      </c>
      <c r="C54" t="s">
        <v>95</v>
      </c>
      <c r="D54">
        <v>1</v>
      </c>
      <c r="S54">
        <v>1</v>
      </c>
      <c r="Z54">
        <v>15</v>
      </c>
    </row>
    <row r="55" spans="2:26" ht="51" x14ac:dyDescent="0.2">
      <c r="B55" s="17"/>
      <c r="C55" s="39" t="s">
        <v>251</v>
      </c>
      <c r="D55" s="17">
        <v>1</v>
      </c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 t="s">
        <v>210</v>
      </c>
      <c r="U55" s="17"/>
      <c r="V55" s="17"/>
      <c r="W55" s="19"/>
      <c r="Y55">
        <v>1</v>
      </c>
      <c r="Z55">
        <v>15</v>
      </c>
    </row>
    <row r="56" spans="2:26" x14ac:dyDescent="0.2">
      <c r="B56">
        <v>36</v>
      </c>
      <c r="C56" s="17" t="s">
        <v>90</v>
      </c>
      <c r="D56" s="17">
        <v>2</v>
      </c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>
        <v>9</v>
      </c>
      <c r="S56" s="17"/>
      <c r="T56" s="17">
        <v>9</v>
      </c>
      <c r="U56" s="17"/>
      <c r="V56" s="17"/>
      <c r="Z56">
        <v>14</v>
      </c>
    </row>
    <row r="57" spans="2:26" x14ac:dyDescent="0.2">
      <c r="B57">
        <v>59</v>
      </c>
      <c r="C57" t="s">
        <v>202</v>
      </c>
      <c r="D57">
        <v>2</v>
      </c>
      <c r="G57">
        <v>7</v>
      </c>
      <c r="W57">
        <v>11</v>
      </c>
      <c r="Z57">
        <v>14</v>
      </c>
    </row>
    <row r="58" spans="2:26" x14ac:dyDescent="0.2">
      <c r="B58">
        <v>60</v>
      </c>
      <c r="C58" t="s">
        <v>54</v>
      </c>
      <c r="D58">
        <v>1</v>
      </c>
      <c r="M58">
        <v>2</v>
      </c>
      <c r="Z58">
        <v>14</v>
      </c>
    </row>
    <row r="59" spans="2:26" x14ac:dyDescent="0.2">
      <c r="B59">
        <v>64</v>
      </c>
      <c r="C59" s="27" t="s">
        <v>205</v>
      </c>
      <c r="D59">
        <v>1</v>
      </c>
      <c r="S59">
        <v>2</v>
      </c>
      <c r="Z59">
        <v>14</v>
      </c>
    </row>
    <row r="60" spans="2:26" x14ac:dyDescent="0.2">
      <c r="B60">
        <v>35</v>
      </c>
      <c r="C60" s="28" t="s">
        <v>34</v>
      </c>
      <c r="D60" s="17">
        <v>2</v>
      </c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>
        <v>4</v>
      </c>
      <c r="V60" s="17">
        <v>15</v>
      </c>
      <c r="Z60">
        <v>13</v>
      </c>
    </row>
    <row r="61" spans="2:26" x14ac:dyDescent="0.2">
      <c r="C61" t="s">
        <v>234</v>
      </c>
      <c r="W61" s="19"/>
      <c r="Y61">
        <v>3</v>
      </c>
      <c r="Z61">
        <v>13</v>
      </c>
    </row>
    <row r="62" spans="2:26" ht="34" x14ac:dyDescent="0.2">
      <c r="B62">
        <v>62</v>
      </c>
      <c r="C62" s="1" t="s">
        <v>204</v>
      </c>
      <c r="D62">
        <v>1</v>
      </c>
      <c r="S62">
        <v>4</v>
      </c>
      <c r="Z62">
        <v>12</v>
      </c>
    </row>
    <row r="63" spans="2:26" x14ac:dyDescent="0.2">
      <c r="B63">
        <v>44</v>
      </c>
      <c r="C63" s="17" t="s">
        <v>29</v>
      </c>
      <c r="D63" s="17">
        <v>2</v>
      </c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>
        <v>10</v>
      </c>
      <c r="U63" s="17"/>
      <c r="V63" s="17">
        <v>10</v>
      </c>
      <c r="Z63">
        <v>12</v>
      </c>
    </row>
    <row r="64" spans="2:26" ht="34" x14ac:dyDescent="0.2">
      <c r="B64">
        <v>50</v>
      </c>
      <c r="C64" s="1" t="s">
        <v>107</v>
      </c>
      <c r="D64">
        <v>1</v>
      </c>
      <c r="U64">
        <v>5</v>
      </c>
      <c r="Z64">
        <v>11</v>
      </c>
    </row>
    <row r="65" spans="2:26" x14ac:dyDescent="0.2">
      <c r="B65">
        <v>55</v>
      </c>
      <c r="C65" t="s">
        <v>101</v>
      </c>
      <c r="D65">
        <v>1</v>
      </c>
      <c r="S65">
        <v>6</v>
      </c>
      <c r="Z65">
        <v>10</v>
      </c>
    </row>
    <row r="66" spans="2:26" x14ac:dyDescent="0.2">
      <c r="B66">
        <v>42</v>
      </c>
      <c r="C66" t="s">
        <v>86</v>
      </c>
      <c r="D66">
        <v>5</v>
      </c>
      <c r="W66">
        <v>11</v>
      </c>
      <c r="X66">
        <v>12</v>
      </c>
      <c r="Y66">
        <v>15</v>
      </c>
      <c r="Z66">
        <v>10</v>
      </c>
    </row>
    <row r="67" spans="2:26" x14ac:dyDescent="0.2">
      <c r="B67">
        <v>43</v>
      </c>
      <c r="C67" t="s">
        <v>81</v>
      </c>
      <c r="D67">
        <v>3</v>
      </c>
      <c r="O67">
        <v>13</v>
      </c>
      <c r="P67">
        <v>15</v>
      </c>
      <c r="W67">
        <v>10</v>
      </c>
      <c r="Z67">
        <v>10</v>
      </c>
    </row>
    <row r="68" spans="2:26" x14ac:dyDescent="0.2">
      <c r="B68">
        <v>48</v>
      </c>
      <c r="C68" t="s">
        <v>198</v>
      </c>
      <c r="D68">
        <v>1</v>
      </c>
      <c r="E68">
        <v>7</v>
      </c>
      <c r="Z68">
        <v>9</v>
      </c>
    </row>
    <row r="69" spans="2:26" ht="34" x14ac:dyDescent="0.2">
      <c r="B69">
        <v>61</v>
      </c>
      <c r="C69" s="1" t="s">
        <v>203</v>
      </c>
      <c r="D69">
        <v>1</v>
      </c>
      <c r="I69">
        <v>7</v>
      </c>
      <c r="Z69">
        <v>9</v>
      </c>
    </row>
    <row r="70" spans="2:26" x14ac:dyDescent="0.2">
      <c r="B70">
        <v>65</v>
      </c>
      <c r="C70" t="s">
        <v>83</v>
      </c>
      <c r="D70">
        <v>1</v>
      </c>
      <c r="O70">
        <v>7</v>
      </c>
      <c r="Z70">
        <v>9</v>
      </c>
    </row>
    <row r="71" spans="2:26" x14ac:dyDescent="0.2">
      <c r="B71">
        <v>66</v>
      </c>
      <c r="C71" s="17" t="s">
        <v>102</v>
      </c>
      <c r="D71" s="17">
        <v>1</v>
      </c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>
        <v>7</v>
      </c>
      <c r="T71" s="17"/>
      <c r="U71" s="17"/>
      <c r="V71" s="17"/>
      <c r="Z71">
        <v>9</v>
      </c>
    </row>
    <row r="72" spans="2:26" x14ac:dyDescent="0.2">
      <c r="B72">
        <v>49</v>
      </c>
      <c r="C72" t="s">
        <v>98</v>
      </c>
      <c r="D72">
        <v>1</v>
      </c>
      <c r="S72">
        <v>8</v>
      </c>
      <c r="Z72">
        <v>8</v>
      </c>
    </row>
    <row r="73" spans="2:26" x14ac:dyDescent="0.2">
      <c r="B73">
        <v>45</v>
      </c>
      <c r="C73" t="s">
        <v>197</v>
      </c>
      <c r="D73">
        <v>1</v>
      </c>
      <c r="S73">
        <v>9</v>
      </c>
      <c r="Z73">
        <v>7</v>
      </c>
    </row>
    <row r="74" spans="2:26" x14ac:dyDescent="0.2">
      <c r="B74">
        <v>37</v>
      </c>
      <c r="C74" t="s">
        <v>69</v>
      </c>
      <c r="D74">
        <v>2</v>
      </c>
      <c r="K74">
        <v>13</v>
      </c>
      <c r="M74">
        <v>13</v>
      </c>
      <c r="Z74">
        <v>6</v>
      </c>
    </row>
    <row r="75" spans="2:26" x14ac:dyDescent="0.2">
      <c r="B75">
        <v>54</v>
      </c>
      <c r="C75" t="s">
        <v>201</v>
      </c>
      <c r="D75">
        <v>1</v>
      </c>
      <c r="I75">
        <v>10</v>
      </c>
      <c r="Z75">
        <v>6</v>
      </c>
    </row>
    <row r="76" spans="2:26" x14ac:dyDescent="0.2">
      <c r="B76">
        <v>58</v>
      </c>
      <c r="C76" t="s">
        <v>46</v>
      </c>
      <c r="D76">
        <v>2</v>
      </c>
      <c r="E76">
        <v>14</v>
      </c>
      <c r="G76">
        <v>12</v>
      </c>
      <c r="Z76">
        <v>6</v>
      </c>
    </row>
    <row r="77" spans="2:26" x14ac:dyDescent="0.2">
      <c r="B77">
        <v>38</v>
      </c>
      <c r="C77" t="s">
        <v>96</v>
      </c>
      <c r="D77">
        <v>2</v>
      </c>
      <c r="S77">
        <v>12</v>
      </c>
      <c r="T77">
        <v>15</v>
      </c>
      <c r="Z77">
        <v>5</v>
      </c>
    </row>
    <row r="78" spans="2:26" x14ac:dyDescent="0.2">
      <c r="B78">
        <v>53</v>
      </c>
      <c r="C78" t="s">
        <v>200</v>
      </c>
      <c r="D78">
        <v>1</v>
      </c>
      <c r="S78">
        <v>11</v>
      </c>
      <c r="Z78">
        <v>5</v>
      </c>
    </row>
    <row r="79" spans="2:26" x14ac:dyDescent="0.2">
      <c r="C79" t="s">
        <v>252</v>
      </c>
      <c r="W79" s="19"/>
      <c r="Y79">
        <v>11</v>
      </c>
      <c r="Z79">
        <v>5</v>
      </c>
    </row>
    <row r="80" spans="2:26" x14ac:dyDescent="0.2">
      <c r="B80">
        <v>56</v>
      </c>
      <c r="C80" t="s">
        <v>59</v>
      </c>
      <c r="D80">
        <v>1</v>
      </c>
      <c r="H80">
        <v>12</v>
      </c>
      <c r="Z80">
        <v>4</v>
      </c>
    </row>
    <row r="81" spans="2:27" x14ac:dyDescent="0.2">
      <c r="B81">
        <v>57</v>
      </c>
      <c r="C81" t="s">
        <v>108</v>
      </c>
      <c r="D81">
        <v>1</v>
      </c>
      <c r="U81">
        <v>12</v>
      </c>
      <c r="Z81">
        <v>4</v>
      </c>
    </row>
    <row r="82" spans="2:27" x14ac:dyDescent="0.2">
      <c r="B82">
        <v>68</v>
      </c>
      <c r="C82" t="s">
        <v>79</v>
      </c>
      <c r="D82">
        <v>1</v>
      </c>
      <c r="N82">
        <v>13</v>
      </c>
      <c r="Z82" s="15">
        <v>3</v>
      </c>
    </row>
    <row r="83" spans="2:27" x14ac:dyDescent="0.2">
      <c r="B83">
        <v>46</v>
      </c>
      <c r="C83" t="s">
        <v>82</v>
      </c>
      <c r="D83">
        <v>1</v>
      </c>
      <c r="O83">
        <v>14</v>
      </c>
      <c r="Z83">
        <v>2</v>
      </c>
    </row>
    <row r="84" spans="2:27" x14ac:dyDescent="0.2">
      <c r="B84">
        <v>47</v>
      </c>
      <c r="C84" t="s">
        <v>93</v>
      </c>
      <c r="D84">
        <v>1</v>
      </c>
      <c r="S84">
        <v>14</v>
      </c>
      <c r="Z84">
        <v>2</v>
      </c>
    </row>
    <row r="85" spans="2:27" x14ac:dyDescent="0.2">
      <c r="B85">
        <v>51</v>
      </c>
      <c r="C85" s="27" t="s">
        <v>199</v>
      </c>
      <c r="D85" s="27">
        <v>1</v>
      </c>
      <c r="F85">
        <v>14</v>
      </c>
      <c r="Z85">
        <v>2</v>
      </c>
    </row>
    <row r="86" spans="2:27" x14ac:dyDescent="0.2">
      <c r="B86">
        <v>63</v>
      </c>
      <c r="C86" s="17" t="s">
        <v>27</v>
      </c>
      <c r="D86" s="17">
        <v>1</v>
      </c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>
        <v>14</v>
      </c>
      <c r="Z86">
        <v>2</v>
      </c>
    </row>
    <row r="87" spans="2:27" x14ac:dyDescent="0.2">
      <c r="W87" s="19"/>
    </row>
    <row r="88" spans="2:27" x14ac:dyDescent="0.2">
      <c r="W88" s="19"/>
    </row>
    <row r="89" spans="2:27" x14ac:dyDescent="0.2"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9"/>
      <c r="X89" s="17"/>
      <c r="Y89" s="17"/>
      <c r="Z89" s="17"/>
      <c r="AA89" s="17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8:F31"/>
  <sheetViews>
    <sheetView workbookViewId="0">
      <selection activeCell="B16" sqref="B16"/>
    </sheetView>
  </sheetViews>
  <sheetFormatPr baseColWidth="10" defaultRowHeight="16" x14ac:dyDescent="0.2"/>
  <sheetData>
    <row r="8" spans="2:6" x14ac:dyDescent="0.2">
      <c r="F8" t="s">
        <v>208</v>
      </c>
    </row>
    <row r="16" spans="2:6" ht="34" x14ac:dyDescent="0.2">
      <c r="B16" s="10" t="s">
        <v>23</v>
      </c>
      <c r="C16" s="7">
        <v>237</v>
      </c>
    </row>
    <row r="17" spans="2:3" x14ac:dyDescent="0.2">
      <c r="B17" s="4" t="s">
        <v>43</v>
      </c>
      <c r="C17" s="4">
        <v>165</v>
      </c>
    </row>
    <row r="18" spans="2:3" x14ac:dyDescent="0.2">
      <c r="B18" s="7" t="s">
        <v>53</v>
      </c>
      <c r="C18" s="7">
        <v>105</v>
      </c>
    </row>
    <row r="19" spans="2:3" x14ac:dyDescent="0.2">
      <c r="B19" s="4" t="s">
        <v>44</v>
      </c>
      <c r="C19" s="4">
        <v>96</v>
      </c>
    </row>
    <row r="20" spans="2:3" x14ac:dyDescent="0.2">
      <c r="B20" s="7" t="s">
        <v>31</v>
      </c>
      <c r="C20" s="7">
        <v>89</v>
      </c>
    </row>
    <row r="21" spans="2:3" x14ac:dyDescent="0.2">
      <c r="B21" s="4" t="s">
        <v>37</v>
      </c>
      <c r="C21" s="4">
        <v>79</v>
      </c>
    </row>
    <row r="22" spans="2:3" x14ac:dyDescent="0.2">
      <c r="B22" s="7" t="s">
        <v>196</v>
      </c>
      <c r="C22" s="7">
        <v>75</v>
      </c>
    </row>
    <row r="23" spans="2:3" x14ac:dyDescent="0.2">
      <c r="B23" s="4" t="s">
        <v>26</v>
      </c>
      <c r="C23" s="4">
        <v>73</v>
      </c>
    </row>
    <row r="24" spans="2:3" x14ac:dyDescent="0.2">
      <c r="B24" s="7" t="s">
        <v>58</v>
      </c>
      <c r="C24" s="7">
        <v>60</v>
      </c>
    </row>
    <row r="25" spans="2:3" x14ac:dyDescent="0.2">
      <c r="B25" s="11" t="s">
        <v>67</v>
      </c>
      <c r="C25" s="4">
        <v>60</v>
      </c>
    </row>
    <row r="26" spans="2:3" x14ac:dyDescent="0.2">
      <c r="B26" s="7" t="s">
        <v>24</v>
      </c>
      <c r="C26" s="7">
        <v>57</v>
      </c>
    </row>
    <row r="27" spans="2:3" x14ac:dyDescent="0.2">
      <c r="B27" s="4" t="s">
        <v>48</v>
      </c>
      <c r="C27" s="4">
        <v>57</v>
      </c>
    </row>
    <row r="28" spans="2:3" x14ac:dyDescent="0.2">
      <c r="B28" s="7" t="s">
        <v>51</v>
      </c>
      <c r="C28" s="7">
        <v>55</v>
      </c>
    </row>
    <row r="29" spans="2:3" x14ac:dyDescent="0.2">
      <c r="B29" s="4" t="s">
        <v>64</v>
      </c>
      <c r="C29" s="4">
        <v>55</v>
      </c>
    </row>
    <row r="30" spans="2:3" x14ac:dyDescent="0.2">
      <c r="B30" s="7" t="s">
        <v>61</v>
      </c>
      <c r="C30" s="7">
        <v>54</v>
      </c>
    </row>
    <row r="31" spans="2:3" ht="51" x14ac:dyDescent="0.2">
      <c r="B31" s="30" t="s">
        <v>173</v>
      </c>
      <c r="C31" s="29">
        <v>30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2:AE86"/>
  <sheetViews>
    <sheetView workbookViewId="0">
      <selection activeCell="AD10" sqref="AD10:AE24"/>
    </sheetView>
  </sheetViews>
  <sheetFormatPr baseColWidth="10" defaultRowHeight="16" x14ac:dyDescent="0.2"/>
  <cols>
    <col min="5" max="23" width="10.83203125" customWidth="1"/>
  </cols>
  <sheetData>
    <row r="2" spans="2:31" x14ac:dyDescent="0.2">
      <c r="D2" t="s">
        <v>219</v>
      </c>
    </row>
    <row r="7" spans="2:31" ht="102" x14ac:dyDescent="0.2">
      <c r="D7" s="1" t="s">
        <v>221</v>
      </c>
      <c r="E7">
        <v>1994</v>
      </c>
      <c r="F7">
        <v>1995</v>
      </c>
      <c r="G7">
        <v>1996</v>
      </c>
      <c r="H7">
        <v>1997</v>
      </c>
      <c r="I7">
        <v>1998</v>
      </c>
      <c r="J7">
        <v>1999</v>
      </c>
      <c r="K7">
        <v>2000</v>
      </c>
      <c r="L7">
        <v>2001</v>
      </c>
      <c r="M7">
        <v>2002</v>
      </c>
      <c r="N7">
        <v>2003</v>
      </c>
      <c r="O7">
        <v>2004</v>
      </c>
      <c r="P7">
        <v>2005</v>
      </c>
      <c r="Q7">
        <v>2006</v>
      </c>
      <c r="R7">
        <v>2007</v>
      </c>
      <c r="S7">
        <v>2008</v>
      </c>
      <c r="T7">
        <v>2009</v>
      </c>
      <c r="U7">
        <v>2010</v>
      </c>
      <c r="V7">
        <v>2011</v>
      </c>
      <c r="W7">
        <v>2012</v>
      </c>
      <c r="X7">
        <v>2013</v>
      </c>
      <c r="Y7">
        <v>2014</v>
      </c>
      <c r="Z7" s="1" t="s">
        <v>181</v>
      </c>
    </row>
    <row r="9" spans="2:31" ht="17" x14ac:dyDescent="0.2">
      <c r="B9" t="s">
        <v>0</v>
      </c>
      <c r="C9" s="1" t="s">
        <v>1</v>
      </c>
      <c r="D9" s="1" t="s">
        <v>2</v>
      </c>
      <c r="E9" t="s">
        <v>3</v>
      </c>
      <c r="F9" t="s">
        <v>4</v>
      </c>
      <c r="G9" t="s">
        <v>5</v>
      </c>
      <c r="H9" t="s">
        <v>6</v>
      </c>
      <c r="I9" t="s">
        <v>7</v>
      </c>
      <c r="J9" t="s">
        <v>8</v>
      </c>
      <c r="K9" t="s">
        <v>9</v>
      </c>
      <c r="L9" t="s">
        <v>20</v>
      </c>
      <c r="M9" t="s">
        <v>182</v>
      </c>
      <c r="N9" t="s">
        <v>183</v>
      </c>
      <c r="O9" t="s">
        <v>184</v>
      </c>
      <c r="P9" t="s">
        <v>185</v>
      </c>
      <c r="Q9" t="s">
        <v>186</v>
      </c>
      <c r="R9" t="s">
        <v>187</v>
      </c>
      <c r="S9" t="s">
        <v>188</v>
      </c>
      <c r="T9" t="s">
        <v>189</v>
      </c>
      <c r="U9" t="s">
        <v>190</v>
      </c>
      <c r="V9" t="s">
        <v>191</v>
      </c>
      <c r="W9" t="s">
        <v>192</v>
      </c>
      <c r="X9" t="s">
        <v>193</v>
      </c>
      <c r="Y9" t="s">
        <v>249</v>
      </c>
      <c r="Z9" t="s">
        <v>194</v>
      </c>
      <c r="AA9" t="s">
        <v>195</v>
      </c>
      <c r="AB9" t="s">
        <v>220</v>
      </c>
    </row>
    <row r="10" spans="2:31" x14ac:dyDescent="0.2">
      <c r="B10">
        <v>1</v>
      </c>
      <c r="C10" s="25" t="s">
        <v>23</v>
      </c>
      <c r="D10" s="1">
        <v>21</v>
      </c>
      <c r="E10">
        <v>119</v>
      </c>
      <c r="F10">
        <v>67</v>
      </c>
      <c r="G10">
        <v>76</v>
      </c>
      <c r="H10">
        <v>73</v>
      </c>
      <c r="I10">
        <v>70</v>
      </c>
      <c r="J10">
        <v>47</v>
      </c>
      <c r="K10">
        <v>53</v>
      </c>
      <c r="L10">
        <v>72</v>
      </c>
      <c r="M10">
        <v>147</v>
      </c>
      <c r="N10">
        <v>88</v>
      </c>
      <c r="O10">
        <v>87</v>
      </c>
      <c r="P10">
        <v>69</v>
      </c>
      <c r="Q10">
        <v>63</v>
      </c>
      <c r="R10">
        <v>81</v>
      </c>
      <c r="S10">
        <v>113</v>
      </c>
      <c r="T10">
        <v>98</v>
      </c>
      <c r="U10">
        <v>81</v>
      </c>
      <c r="V10">
        <v>76</v>
      </c>
      <c r="W10">
        <v>66</v>
      </c>
      <c r="X10">
        <v>63</v>
      </c>
      <c r="Y10">
        <v>64</v>
      </c>
      <c r="Z10">
        <f t="shared" ref="Z10:Z41" si="0">SUM(E10:Y10)</f>
        <v>1673</v>
      </c>
      <c r="AD10" s="32" t="s">
        <v>23</v>
      </c>
      <c r="AE10">
        <v>1673</v>
      </c>
    </row>
    <row r="11" spans="2:31" x14ac:dyDescent="0.2">
      <c r="B11">
        <v>28</v>
      </c>
      <c r="C11" t="s">
        <v>42</v>
      </c>
      <c r="D11">
        <v>3</v>
      </c>
      <c r="E11">
        <v>37</v>
      </c>
      <c r="M11">
        <v>815</v>
      </c>
      <c r="N11">
        <v>584</v>
      </c>
      <c r="Z11">
        <f t="shared" si="0"/>
        <v>1436</v>
      </c>
      <c r="AD11" s="4" t="s">
        <v>42</v>
      </c>
      <c r="AE11">
        <v>1436</v>
      </c>
    </row>
    <row r="12" spans="2:31" x14ac:dyDescent="0.2">
      <c r="B12">
        <v>19</v>
      </c>
      <c r="C12" t="s">
        <v>31</v>
      </c>
      <c r="D12">
        <v>8</v>
      </c>
      <c r="Q12">
        <v>115</v>
      </c>
      <c r="R12">
        <v>152</v>
      </c>
      <c r="T12">
        <v>184</v>
      </c>
      <c r="U12">
        <v>193</v>
      </c>
      <c r="V12">
        <v>172</v>
      </c>
      <c r="W12">
        <v>193</v>
      </c>
      <c r="X12">
        <v>105</v>
      </c>
      <c r="Y12">
        <v>95</v>
      </c>
      <c r="Z12">
        <f t="shared" si="0"/>
        <v>1209</v>
      </c>
      <c r="AD12" s="7" t="s">
        <v>31</v>
      </c>
      <c r="AE12">
        <v>1209</v>
      </c>
    </row>
    <row r="13" spans="2:31" x14ac:dyDescent="0.2">
      <c r="B13">
        <v>3</v>
      </c>
      <c r="C13" t="s">
        <v>43</v>
      </c>
      <c r="D13">
        <v>13</v>
      </c>
      <c r="E13">
        <v>109</v>
      </c>
      <c r="F13">
        <v>116</v>
      </c>
      <c r="G13">
        <v>173</v>
      </c>
      <c r="H13">
        <v>85</v>
      </c>
      <c r="I13">
        <v>94</v>
      </c>
      <c r="J13">
        <v>84</v>
      </c>
      <c r="K13">
        <v>62</v>
      </c>
      <c r="L13">
        <v>103</v>
      </c>
      <c r="N13">
        <v>90</v>
      </c>
      <c r="O13">
        <v>123</v>
      </c>
      <c r="P13">
        <v>10</v>
      </c>
      <c r="Q13">
        <v>61</v>
      </c>
      <c r="R13">
        <v>64</v>
      </c>
      <c r="Z13">
        <f t="shared" si="0"/>
        <v>1174</v>
      </c>
      <c r="AD13" s="4" t="s">
        <v>43</v>
      </c>
      <c r="AE13">
        <v>1174</v>
      </c>
    </row>
    <row r="14" spans="2:31" x14ac:dyDescent="0.2">
      <c r="B14">
        <v>25</v>
      </c>
      <c r="C14" t="s">
        <v>48</v>
      </c>
      <c r="D14">
        <v>4</v>
      </c>
      <c r="E14">
        <v>238</v>
      </c>
      <c r="F14">
        <v>149</v>
      </c>
      <c r="G14">
        <v>225</v>
      </c>
      <c r="H14">
        <v>206</v>
      </c>
      <c r="Z14">
        <f t="shared" si="0"/>
        <v>818</v>
      </c>
      <c r="AD14" s="7" t="s">
        <v>48</v>
      </c>
      <c r="AE14">
        <v>818</v>
      </c>
    </row>
    <row r="15" spans="2:31" x14ac:dyDescent="0.2">
      <c r="B15">
        <v>32</v>
      </c>
      <c r="C15" s="17" t="s">
        <v>35</v>
      </c>
      <c r="D15" s="17">
        <v>3</v>
      </c>
      <c r="E15">
        <v>462</v>
      </c>
      <c r="U15">
        <v>224</v>
      </c>
      <c r="V15">
        <v>122</v>
      </c>
      <c r="Z15">
        <f t="shared" si="0"/>
        <v>808</v>
      </c>
      <c r="AD15" s="4" t="s">
        <v>35</v>
      </c>
      <c r="AE15">
        <v>808</v>
      </c>
    </row>
    <row r="16" spans="2:31" x14ac:dyDescent="0.2">
      <c r="B16">
        <v>10</v>
      </c>
      <c r="C16" t="s">
        <v>44</v>
      </c>
      <c r="D16">
        <v>8</v>
      </c>
      <c r="E16">
        <v>103</v>
      </c>
      <c r="F16">
        <v>87</v>
      </c>
      <c r="G16">
        <v>188</v>
      </c>
      <c r="H16">
        <v>103</v>
      </c>
      <c r="J16">
        <v>84</v>
      </c>
      <c r="L16">
        <v>71</v>
      </c>
      <c r="M16">
        <v>95</v>
      </c>
      <c r="R16">
        <v>46</v>
      </c>
      <c r="Z16">
        <f t="shared" si="0"/>
        <v>777</v>
      </c>
      <c r="AD16" s="7" t="s">
        <v>44</v>
      </c>
      <c r="AE16">
        <v>777</v>
      </c>
    </row>
    <row r="17" spans="2:31" x14ac:dyDescent="0.2">
      <c r="B17">
        <v>24</v>
      </c>
      <c r="C17" t="s">
        <v>32</v>
      </c>
      <c r="D17">
        <v>7</v>
      </c>
      <c r="V17">
        <v>133</v>
      </c>
      <c r="W17">
        <v>100</v>
      </c>
      <c r="X17">
        <v>103</v>
      </c>
      <c r="Y17">
        <v>128</v>
      </c>
      <c r="Z17">
        <f t="shared" si="0"/>
        <v>464</v>
      </c>
      <c r="AD17" s="4" t="s">
        <v>32</v>
      </c>
      <c r="AE17">
        <v>464</v>
      </c>
    </row>
    <row r="18" spans="2:31" x14ac:dyDescent="0.2">
      <c r="B18">
        <v>7</v>
      </c>
      <c r="C18" t="s">
        <v>53</v>
      </c>
      <c r="D18">
        <v>11</v>
      </c>
      <c r="F18">
        <v>17</v>
      </c>
      <c r="H18">
        <v>75</v>
      </c>
      <c r="I18">
        <v>62</v>
      </c>
      <c r="J18">
        <v>60</v>
      </c>
      <c r="K18">
        <v>72</v>
      </c>
      <c r="L18">
        <v>53</v>
      </c>
      <c r="N18">
        <v>44</v>
      </c>
      <c r="O18">
        <v>46</v>
      </c>
      <c r="P18">
        <v>13</v>
      </c>
      <c r="W18">
        <v>9</v>
      </c>
      <c r="X18">
        <v>10</v>
      </c>
      <c r="Z18">
        <f t="shared" si="0"/>
        <v>461</v>
      </c>
      <c r="AD18" s="7" t="s">
        <v>53</v>
      </c>
      <c r="AE18">
        <v>461</v>
      </c>
    </row>
    <row r="19" spans="2:31" x14ac:dyDescent="0.2">
      <c r="B19">
        <v>16</v>
      </c>
      <c r="C19" s="25" t="s">
        <v>41</v>
      </c>
      <c r="D19" s="1">
        <v>6</v>
      </c>
      <c r="E19">
        <v>443</v>
      </c>
      <c r="Z19">
        <f t="shared" si="0"/>
        <v>443</v>
      </c>
      <c r="AD19" s="36" t="s">
        <v>41</v>
      </c>
      <c r="AE19">
        <v>443</v>
      </c>
    </row>
    <row r="20" spans="2:31" x14ac:dyDescent="0.2">
      <c r="B20">
        <v>33</v>
      </c>
      <c r="C20" t="s">
        <v>65</v>
      </c>
      <c r="D20">
        <v>3</v>
      </c>
      <c r="J20">
        <v>204</v>
      </c>
      <c r="L20">
        <v>170</v>
      </c>
      <c r="P20">
        <v>5</v>
      </c>
      <c r="Z20">
        <f t="shared" si="0"/>
        <v>379</v>
      </c>
      <c r="AD20" s="7" t="s">
        <v>65</v>
      </c>
      <c r="AE20">
        <v>379</v>
      </c>
    </row>
    <row r="21" spans="2:31" x14ac:dyDescent="0.2">
      <c r="B21">
        <v>27</v>
      </c>
      <c r="C21" t="s">
        <v>49</v>
      </c>
      <c r="D21">
        <v>4</v>
      </c>
      <c r="F21">
        <v>215</v>
      </c>
      <c r="O21">
        <v>87</v>
      </c>
      <c r="P21">
        <v>5</v>
      </c>
      <c r="Q21">
        <v>50</v>
      </c>
      <c r="Z21">
        <f t="shared" si="0"/>
        <v>357</v>
      </c>
      <c r="AD21" s="4" t="s">
        <v>49</v>
      </c>
      <c r="AE21">
        <v>357</v>
      </c>
    </row>
    <row r="22" spans="2:31" x14ac:dyDescent="0.2">
      <c r="B22">
        <v>18</v>
      </c>
      <c r="C22" t="s">
        <v>26</v>
      </c>
      <c r="D22">
        <v>9</v>
      </c>
      <c r="P22">
        <v>63</v>
      </c>
      <c r="Q22">
        <v>70</v>
      </c>
      <c r="R22">
        <v>93</v>
      </c>
      <c r="T22">
        <v>26</v>
      </c>
      <c r="U22">
        <v>39</v>
      </c>
      <c r="V22">
        <v>17</v>
      </c>
      <c r="W22">
        <v>17</v>
      </c>
      <c r="X22">
        <v>14</v>
      </c>
      <c r="Y22">
        <v>14</v>
      </c>
      <c r="Z22">
        <f t="shared" si="0"/>
        <v>353</v>
      </c>
      <c r="AD22" s="7" t="s">
        <v>26</v>
      </c>
      <c r="AE22">
        <v>353</v>
      </c>
    </row>
    <row r="23" spans="2:31" x14ac:dyDescent="0.2">
      <c r="B23">
        <v>21</v>
      </c>
      <c r="C23" s="27" t="s">
        <v>67</v>
      </c>
      <c r="D23">
        <v>5</v>
      </c>
      <c r="K23">
        <v>67</v>
      </c>
      <c r="L23">
        <v>54</v>
      </c>
      <c r="M23">
        <v>59</v>
      </c>
      <c r="N23">
        <v>72</v>
      </c>
      <c r="O23">
        <v>81</v>
      </c>
      <c r="Z23">
        <f t="shared" si="0"/>
        <v>333</v>
      </c>
      <c r="AD23" s="11" t="s">
        <v>67</v>
      </c>
      <c r="AE23">
        <v>333</v>
      </c>
    </row>
    <row r="24" spans="2:31" ht="51" x14ac:dyDescent="0.2">
      <c r="C24" s="1" t="s">
        <v>253</v>
      </c>
      <c r="D24">
        <v>1</v>
      </c>
      <c r="W24" s="19"/>
      <c r="Y24">
        <v>291</v>
      </c>
      <c r="Z24">
        <f t="shared" si="0"/>
        <v>291</v>
      </c>
      <c r="AD24" s="10" t="s">
        <v>253</v>
      </c>
      <c r="AE24">
        <v>291</v>
      </c>
    </row>
    <row r="25" spans="2:31" x14ac:dyDescent="0.2">
      <c r="B25">
        <v>2</v>
      </c>
      <c r="C25" t="s">
        <v>37</v>
      </c>
      <c r="D25">
        <v>17</v>
      </c>
      <c r="E25">
        <v>19</v>
      </c>
      <c r="G25">
        <v>18</v>
      </c>
      <c r="H25">
        <v>20</v>
      </c>
      <c r="J25">
        <v>29</v>
      </c>
      <c r="K25">
        <v>18</v>
      </c>
      <c r="L25">
        <v>14</v>
      </c>
      <c r="M25">
        <v>18</v>
      </c>
      <c r="N25">
        <v>34</v>
      </c>
      <c r="O25">
        <v>17</v>
      </c>
      <c r="P25">
        <v>2</v>
      </c>
      <c r="Q25">
        <v>11</v>
      </c>
      <c r="U25">
        <v>13</v>
      </c>
      <c r="V25">
        <v>10</v>
      </c>
      <c r="W25">
        <v>15</v>
      </c>
      <c r="X25">
        <v>15</v>
      </c>
      <c r="Y25">
        <v>27</v>
      </c>
      <c r="Z25">
        <f t="shared" si="0"/>
        <v>280</v>
      </c>
    </row>
    <row r="26" spans="2:31" x14ac:dyDescent="0.2">
      <c r="B26">
        <v>14</v>
      </c>
      <c r="C26" t="s">
        <v>30</v>
      </c>
      <c r="D26">
        <v>6</v>
      </c>
      <c r="F26">
        <v>126</v>
      </c>
      <c r="J26">
        <v>46</v>
      </c>
      <c r="P26">
        <v>33</v>
      </c>
      <c r="T26">
        <v>19</v>
      </c>
      <c r="U26">
        <v>19</v>
      </c>
      <c r="V26">
        <v>23</v>
      </c>
      <c r="Z26">
        <f t="shared" si="0"/>
        <v>266</v>
      </c>
    </row>
    <row r="27" spans="2:31" x14ac:dyDescent="0.2">
      <c r="B27">
        <v>5</v>
      </c>
      <c r="C27" t="s">
        <v>58</v>
      </c>
      <c r="D27">
        <v>15</v>
      </c>
      <c r="I27">
        <v>40</v>
      </c>
      <c r="J27">
        <v>48</v>
      </c>
      <c r="K27">
        <v>34</v>
      </c>
      <c r="L27">
        <v>29</v>
      </c>
      <c r="M27">
        <v>27</v>
      </c>
      <c r="N27">
        <v>17</v>
      </c>
      <c r="O27">
        <v>20</v>
      </c>
      <c r="P27">
        <v>3</v>
      </c>
      <c r="Q27">
        <v>9</v>
      </c>
      <c r="R27">
        <v>6</v>
      </c>
      <c r="W27">
        <v>6</v>
      </c>
      <c r="X27">
        <v>7</v>
      </c>
      <c r="Y27">
        <v>7</v>
      </c>
      <c r="Z27">
        <f t="shared" si="0"/>
        <v>253</v>
      </c>
    </row>
    <row r="28" spans="2:31" x14ac:dyDescent="0.2">
      <c r="B28">
        <v>4</v>
      </c>
      <c r="C28" t="s">
        <v>196</v>
      </c>
      <c r="D28">
        <v>13</v>
      </c>
      <c r="E28">
        <v>9</v>
      </c>
      <c r="F28">
        <v>11</v>
      </c>
      <c r="G28">
        <v>31</v>
      </c>
      <c r="H28">
        <v>18</v>
      </c>
      <c r="I28">
        <v>14</v>
      </c>
      <c r="J28">
        <v>19</v>
      </c>
      <c r="K28">
        <v>9</v>
      </c>
      <c r="P28">
        <v>25</v>
      </c>
      <c r="Q28">
        <v>16</v>
      </c>
      <c r="R28">
        <v>40</v>
      </c>
      <c r="T28">
        <v>16</v>
      </c>
      <c r="U28">
        <v>11</v>
      </c>
      <c r="V28">
        <v>9</v>
      </c>
      <c r="Z28">
        <f t="shared" si="0"/>
        <v>228</v>
      </c>
    </row>
    <row r="29" spans="2:31" x14ac:dyDescent="0.2">
      <c r="B29">
        <v>15</v>
      </c>
      <c r="C29" t="s">
        <v>24</v>
      </c>
      <c r="D29">
        <v>6</v>
      </c>
      <c r="Q29">
        <v>35</v>
      </c>
      <c r="R29">
        <v>34</v>
      </c>
      <c r="S29">
        <v>41</v>
      </c>
      <c r="T29">
        <v>25</v>
      </c>
      <c r="U29">
        <v>42</v>
      </c>
      <c r="V29">
        <v>35</v>
      </c>
      <c r="Z29">
        <f t="shared" si="0"/>
        <v>212</v>
      </c>
    </row>
    <row r="30" spans="2:31" x14ac:dyDescent="0.2">
      <c r="B30">
        <v>34</v>
      </c>
      <c r="C30" s="17" t="s">
        <v>25</v>
      </c>
      <c r="D30" s="17">
        <v>6</v>
      </c>
      <c r="T30">
        <v>49</v>
      </c>
      <c r="U30">
        <v>37</v>
      </c>
      <c r="V30">
        <v>32</v>
      </c>
      <c r="W30">
        <v>27</v>
      </c>
      <c r="X30">
        <v>26</v>
      </c>
      <c r="Y30">
        <v>38</v>
      </c>
      <c r="Z30">
        <f t="shared" si="0"/>
        <v>209</v>
      </c>
    </row>
    <row r="31" spans="2:31" x14ac:dyDescent="0.2">
      <c r="B31">
        <v>60</v>
      </c>
      <c r="C31" t="s">
        <v>54</v>
      </c>
      <c r="D31">
        <v>1</v>
      </c>
      <c r="M31">
        <v>206</v>
      </c>
      <c r="Z31">
        <f t="shared" si="0"/>
        <v>206</v>
      </c>
    </row>
    <row r="32" spans="2:31" x14ac:dyDescent="0.2">
      <c r="B32">
        <v>9</v>
      </c>
      <c r="C32" t="s">
        <v>61</v>
      </c>
      <c r="D32">
        <v>8</v>
      </c>
      <c r="I32">
        <v>36</v>
      </c>
      <c r="J32">
        <v>72</v>
      </c>
      <c r="K32">
        <v>21</v>
      </c>
      <c r="L32">
        <v>18</v>
      </c>
      <c r="N32">
        <v>22</v>
      </c>
      <c r="O32">
        <v>15</v>
      </c>
      <c r="P32">
        <v>4</v>
      </c>
      <c r="Q32">
        <v>11</v>
      </c>
      <c r="Z32">
        <f t="shared" si="0"/>
        <v>199</v>
      </c>
    </row>
    <row r="33" spans="2:27" x14ac:dyDescent="0.2">
      <c r="B33">
        <v>22</v>
      </c>
      <c r="C33" s="27" t="s">
        <v>75</v>
      </c>
      <c r="D33">
        <v>5</v>
      </c>
      <c r="K33">
        <v>35</v>
      </c>
      <c r="L33">
        <v>33</v>
      </c>
      <c r="M33">
        <v>30</v>
      </c>
      <c r="N33">
        <v>41</v>
      </c>
      <c r="O33">
        <v>48</v>
      </c>
      <c r="Z33">
        <f t="shared" si="0"/>
        <v>187</v>
      </c>
    </row>
    <row r="34" spans="2:27" x14ac:dyDescent="0.2">
      <c r="B34">
        <v>40</v>
      </c>
      <c r="C34" s="27" t="s">
        <v>84</v>
      </c>
      <c r="D34">
        <v>2</v>
      </c>
      <c r="P34">
        <v>132</v>
      </c>
      <c r="U34">
        <v>54</v>
      </c>
      <c r="Z34">
        <f t="shared" si="0"/>
        <v>186</v>
      </c>
    </row>
    <row r="35" spans="2:27" x14ac:dyDescent="0.2">
      <c r="B35">
        <v>6</v>
      </c>
      <c r="C35" t="s">
        <v>64</v>
      </c>
      <c r="D35">
        <v>10</v>
      </c>
      <c r="J35">
        <v>27</v>
      </c>
      <c r="K35">
        <v>28</v>
      </c>
      <c r="L35">
        <v>25</v>
      </c>
      <c r="M35">
        <v>29</v>
      </c>
      <c r="N35">
        <v>15</v>
      </c>
      <c r="O35">
        <v>21</v>
      </c>
      <c r="P35">
        <v>5</v>
      </c>
      <c r="Q35">
        <v>9</v>
      </c>
      <c r="R35">
        <v>9</v>
      </c>
      <c r="X35">
        <v>7</v>
      </c>
      <c r="Z35">
        <f t="shared" si="0"/>
        <v>175</v>
      </c>
    </row>
    <row r="36" spans="2:27" x14ac:dyDescent="0.2">
      <c r="B36">
        <v>12</v>
      </c>
      <c r="C36" t="s">
        <v>51</v>
      </c>
      <c r="D36">
        <v>7</v>
      </c>
      <c r="F36">
        <v>19</v>
      </c>
      <c r="G36">
        <v>23</v>
      </c>
      <c r="H36">
        <v>27</v>
      </c>
      <c r="I36">
        <v>23</v>
      </c>
      <c r="J36">
        <v>21</v>
      </c>
      <c r="L36">
        <v>18</v>
      </c>
      <c r="N36">
        <v>32</v>
      </c>
      <c r="Z36">
        <f t="shared" si="0"/>
        <v>163</v>
      </c>
    </row>
    <row r="37" spans="2:27" x14ac:dyDescent="0.2">
      <c r="B37">
        <v>67</v>
      </c>
      <c r="C37" t="s">
        <v>95</v>
      </c>
      <c r="D37">
        <v>1</v>
      </c>
      <c r="S37">
        <v>151</v>
      </c>
      <c r="Z37">
        <f t="shared" si="0"/>
        <v>151</v>
      </c>
    </row>
    <row r="38" spans="2:27" x14ac:dyDescent="0.2">
      <c r="B38">
        <v>8</v>
      </c>
      <c r="C38" s="1" t="s">
        <v>39</v>
      </c>
      <c r="D38">
        <v>9</v>
      </c>
      <c r="E38">
        <v>17</v>
      </c>
      <c r="G38">
        <v>39</v>
      </c>
      <c r="H38">
        <v>15</v>
      </c>
      <c r="I38">
        <v>16</v>
      </c>
      <c r="J38">
        <v>17</v>
      </c>
      <c r="K38">
        <v>25</v>
      </c>
      <c r="L38">
        <v>7</v>
      </c>
      <c r="M38">
        <v>9</v>
      </c>
      <c r="N38">
        <v>4</v>
      </c>
      <c r="Z38">
        <f t="shared" si="0"/>
        <v>149</v>
      </c>
    </row>
    <row r="39" spans="2:27" x14ac:dyDescent="0.2">
      <c r="B39">
        <v>69</v>
      </c>
      <c r="C39" t="s">
        <v>214</v>
      </c>
      <c r="D39">
        <v>3</v>
      </c>
      <c r="X39">
        <v>64</v>
      </c>
      <c r="Y39">
        <v>85</v>
      </c>
      <c r="Z39">
        <f t="shared" si="0"/>
        <v>149</v>
      </c>
    </row>
    <row r="40" spans="2:27" x14ac:dyDescent="0.2">
      <c r="B40">
        <v>64</v>
      </c>
      <c r="C40" s="27" t="s">
        <v>205</v>
      </c>
      <c r="D40">
        <v>1</v>
      </c>
      <c r="S40">
        <v>135</v>
      </c>
      <c r="Z40">
        <f t="shared" si="0"/>
        <v>135</v>
      </c>
    </row>
    <row r="41" spans="2:27" x14ac:dyDescent="0.2">
      <c r="B41">
        <v>11</v>
      </c>
      <c r="C41" t="s">
        <v>47</v>
      </c>
      <c r="D41">
        <v>8</v>
      </c>
      <c r="E41">
        <v>14</v>
      </c>
      <c r="F41">
        <v>19</v>
      </c>
      <c r="G41">
        <v>16</v>
      </c>
      <c r="H41">
        <v>14</v>
      </c>
      <c r="I41">
        <v>19</v>
      </c>
      <c r="J41">
        <v>19</v>
      </c>
      <c r="K41">
        <v>17</v>
      </c>
      <c r="T41">
        <v>8</v>
      </c>
      <c r="Z41">
        <f t="shared" si="0"/>
        <v>126</v>
      </c>
    </row>
    <row r="42" spans="2:27" x14ac:dyDescent="0.2">
      <c r="B42">
        <v>39</v>
      </c>
      <c r="C42" t="s">
        <v>87</v>
      </c>
      <c r="D42">
        <v>2</v>
      </c>
      <c r="Q42">
        <v>65</v>
      </c>
      <c r="R42">
        <v>59</v>
      </c>
      <c r="Z42">
        <f t="shared" ref="Z42:Z73" si="1">SUM(E42:Y42)</f>
        <v>124</v>
      </c>
    </row>
    <row r="43" spans="2:27" x14ac:dyDescent="0.2">
      <c r="C43" t="s">
        <v>250</v>
      </c>
      <c r="D43">
        <v>2</v>
      </c>
      <c r="X43">
        <v>46</v>
      </c>
      <c r="Y43">
        <v>76</v>
      </c>
      <c r="Z43">
        <f t="shared" si="1"/>
        <v>122</v>
      </c>
    </row>
    <row r="44" spans="2:27" x14ac:dyDescent="0.2">
      <c r="B44">
        <v>26</v>
      </c>
      <c r="C44" s="25" t="s">
        <v>73</v>
      </c>
      <c r="D44">
        <v>4</v>
      </c>
      <c r="K44">
        <v>26</v>
      </c>
      <c r="L44">
        <v>30</v>
      </c>
      <c r="M44">
        <v>45</v>
      </c>
      <c r="N44">
        <v>14</v>
      </c>
      <c r="Z44">
        <f t="shared" si="1"/>
        <v>115</v>
      </c>
    </row>
    <row r="45" spans="2:27" x14ac:dyDescent="0.2">
      <c r="B45">
        <v>62</v>
      </c>
      <c r="C45" s="1" t="s">
        <v>204</v>
      </c>
      <c r="D45">
        <v>1</v>
      </c>
      <c r="S45">
        <v>110</v>
      </c>
      <c r="Z45">
        <f t="shared" si="1"/>
        <v>110</v>
      </c>
    </row>
    <row r="46" spans="2:27" x14ac:dyDescent="0.2">
      <c r="B46">
        <v>29</v>
      </c>
      <c r="C46" t="s">
        <v>106</v>
      </c>
      <c r="D46">
        <v>3</v>
      </c>
      <c r="M46">
        <v>47</v>
      </c>
      <c r="T46">
        <v>34</v>
      </c>
      <c r="V46">
        <v>28</v>
      </c>
      <c r="Z46">
        <f t="shared" si="1"/>
        <v>109</v>
      </c>
    </row>
    <row r="47" spans="2:27" x14ac:dyDescent="0.2">
      <c r="C47" s="25" t="s">
        <v>234</v>
      </c>
      <c r="D47">
        <v>1</v>
      </c>
      <c r="W47" s="19"/>
      <c r="Y47">
        <v>98</v>
      </c>
      <c r="Z47">
        <f t="shared" si="1"/>
        <v>98</v>
      </c>
      <c r="AA47" s="15"/>
    </row>
    <row r="48" spans="2:27" ht="34" x14ac:dyDescent="0.2">
      <c r="B48">
        <v>31</v>
      </c>
      <c r="C48" s="17" t="s">
        <v>28</v>
      </c>
      <c r="D48" s="17">
        <v>4</v>
      </c>
      <c r="T48">
        <v>28</v>
      </c>
      <c r="U48">
        <v>25</v>
      </c>
      <c r="V48">
        <v>21</v>
      </c>
      <c r="Y48">
        <v>19</v>
      </c>
      <c r="Z48">
        <f t="shared" si="1"/>
        <v>93</v>
      </c>
    </row>
    <row r="49" spans="2:26" x14ac:dyDescent="0.2">
      <c r="B49">
        <v>23</v>
      </c>
      <c r="C49" t="s">
        <v>80</v>
      </c>
      <c r="D49">
        <v>4</v>
      </c>
      <c r="O49">
        <v>17</v>
      </c>
      <c r="Q49">
        <v>25</v>
      </c>
      <c r="R49">
        <v>18</v>
      </c>
      <c r="S49">
        <v>21</v>
      </c>
      <c r="Z49">
        <f t="shared" si="1"/>
        <v>81</v>
      </c>
    </row>
    <row r="50" spans="2:26" x14ac:dyDescent="0.2">
      <c r="B50">
        <v>35</v>
      </c>
      <c r="C50" s="28" t="s">
        <v>34</v>
      </c>
      <c r="D50" s="17">
        <v>2</v>
      </c>
      <c r="U50">
        <v>66</v>
      </c>
      <c r="V50">
        <v>5</v>
      </c>
      <c r="Z50">
        <f t="shared" si="1"/>
        <v>71</v>
      </c>
    </row>
    <row r="51" spans="2:26" x14ac:dyDescent="0.2">
      <c r="B51">
        <v>41</v>
      </c>
      <c r="C51" t="s">
        <v>74</v>
      </c>
      <c r="D51">
        <v>2</v>
      </c>
      <c r="L51">
        <v>47</v>
      </c>
      <c r="P51">
        <v>20</v>
      </c>
      <c r="Z51">
        <f t="shared" si="1"/>
        <v>67</v>
      </c>
    </row>
    <row r="52" spans="2:26" x14ac:dyDescent="0.2">
      <c r="B52">
        <v>17</v>
      </c>
      <c r="C52" t="s">
        <v>63</v>
      </c>
      <c r="D52">
        <v>9</v>
      </c>
      <c r="I52">
        <v>3</v>
      </c>
      <c r="M52">
        <v>6</v>
      </c>
      <c r="Q52">
        <v>9</v>
      </c>
      <c r="R52">
        <v>11</v>
      </c>
      <c r="S52">
        <v>11</v>
      </c>
      <c r="T52">
        <v>6</v>
      </c>
      <c r="W52">
        <v>5</v>
      </c>
      <c r="X52">
        <v>5</v>
      </c>
      <c r="Y52">
        <v>6</v>
      </c>
      <c r="Z52">
        <f t="shared" si="1"/>
        <v>62</v>
      </c>
    </row>
    <row r="53" spans="2:26" ht="34" x14ac:dyDescent="0.2">
      <c r="B53">
        <v>50</v>
      </c>
      <c r="C53" s="1" t="s">
        <v>107</v>
      </c>
      <c r="D53">
        <v>1</v>
      </c>
      <c r="U53">
        <v>56</v>
      </c>
      <c r="Z53">
        <f t="shared" si="1"/>
        <v>56</v>
      </c>
    </row>
    <row r="54" spans="2:26" x14ac:dyDescent="0.2">
      <c r="B54">
        <v>52</v>
      </c>
      <c r="C54" s="17" t="s">
        <v>104</v>
      </c>
      <c r="D54" s="17">
        <v>3</v>
      </c>
      <c r="T54">
        <v>23</v>
      </c>
      <c r="W54">
        <v>18</v>
      </c>
      <c r="X54">
        <v>12</v>
      </c>
      <c r="Z54">
        <f t="shared" si="1"/>
        <v>53</v>
      </c>
    </row>
    <row r="55" spans="2:26" x14ac:dyDescent="0.2">
      <c r="B55">
        <v>48</v>
      </c>
      <c r="C55" t="s">
        <v>198</v>
      </c>
      <c r="D55">
        <v>1</v>
      </c>
      <c r="E55">
        <v>47</v>
      </c>
      <c r="Z55">
        <f t="shared" si="1"/>
        <v>47</v>
      </c>
    </row>
    <row r="56" spans="2:26" x14ac:dyDescent="0.2">
      <c r="B56">
        <v>36</v>
      </c>
      <c r="C56" s="17" t="s">
        <v>90</v>
      </c>
      <c r="D56" s="17">
        <v>2</v>
      </c>
      <c r="R56">
        <v>21</v>
      </c>
      <c r="T56">
        <v>21</v>
      </c>
      <c r="Z56">
        <f t="shared" si="1"/>
        <v>42</v>
      </c>
    </row>
    <row r="57" spans="2:26" x14ac:dyDescent="0.2">
      <c r="B57">
        <v>70</v>
      </c>
      <c r="C57" t="s">
        <v>215</v>
      </c>
      <c r="D57">
        <v>2</v>
      </c>
      <c r="W57">
        <v>18</v>
      </c>
      <c r="X57">
        <v>22</v>
      </c>
      <c r="Z57">
        <f t="shared" si="1"/>
        <v>40</v>
      </c>
    </row>
    <row r="58" spans="2:26" x14ac:dyDescent="0.2">
      <c r="B58">
        <v>44</v>
      </c>
      <c r="C58" s="17" t="s">
        <v>29</v>
      </c>
      <c r="D58" s="17">
        <v>2</v>
      </c>
      <c r="T58">
        <v>20</v>
      </c>
      <c r="V58">
        <v>19</v>
      </c>
      <c r="Z58">
        <f t="shared" si="1"/>
        <v>39</v>
      </c>
    </row>
    <row r="59" spans="2:26" x14ac:dyDescent="0.2">
      <c r="B59">
        <v>59</v>
      </c>
      <c r="C59" t="s">
        <v>202</v>
      </c>
      <c r="D59">
        <v>2</v>
      </c>
      <c r="G59">
        <v>27</v>
      </c>
      <c r="W59">
        <v>6</v>
      </c>
      <c r="Z59">
        <f t="shared" si="1"/>
        <v>33</v>
      </c>
    </row>
    <row r="60" spans="2:26" x14ac:dyDescent="0.2">
      <c r="B60">
        <v>30</v>
      </c>
      <c r="C60" t="s">
        <v>40</v>
      </c>
      <c r="D60">
        <v>3</v>
      </c>
      <c r="E60">
        <v>11</v>
      </c>
      <c r="F60">
        <v>11</v>
      </c>
      <c r="G60">
        <v>10</v>
      </c>
      <c r="Z60">
        <f t="shared" si="1"/>
        <v>32</v>
      </c>
    </row>
    <row r="61" spans="2:26" x14ac:dyDescent="0.2">
      <c r="B61">
        <v>55</v>
      </c>
      <c r="C61" t="s">
        <v>101</v>
      </c>
      <c r="D61">
        <v>1</v>
      </c>
      <c r="S61">
        <v>29</v>
      </c>
      <c r="Z61">
        <f t="shared" si="1"/>
        <v>29</v>
      </c>
    </row>
    <row r="62" spans="2:26" x14ac:dyDescent="0.2">
      <c r="B62">
        <v>66</v>
      </c>
      <c r="C62" s="17" t="s">
        <v>102</v>
      </c>
      <c r="D62" s="17">
        <v>1</v>
      </c>
      <c r="S62">
        <v>26</v>
      </c>
      <c r="Z62">
        <f t="shared" si="1"/>
        <v>26</v>
      </c>
    </row>
    <row r="63" spans="2:26" x14ac:dyDescent="0.2">
      <c r="B63">
        <v>45</v>
      </c>
      <c r="C63" t="s">
        <v>197</v>
      </c>
      <c r="D63">
        <v>1</v>
      </c>
      <c r="S63">
        <v>23</v>
      </c>
      <c r="Z63">
        <f t="shared" si="1"/>
        <v>23</v>
      </c>
    </row>
    <row r="64" spans="2:26" x14ac:dyDescent="0.2">
      <c r="B64">
        <v>49</v>
      </c>
      <c r="C64" t="s">
        <v>98</v>
      </c>
      <c r="D64">
        <v>1</v>
      </c>
      <c r="S64">
        <v>23</v>
      </c>
      <c r="Z64">
        <f t="shared" si="1"/>
        <v>23</v>
      </c>
    </row>
    <row r="65" spans="2:26" x14ac:dyDescent="0.2">
      <c r="B65">
        <v>65</v>
      </c>
      <c r="C65" t="s">
        <v>83</v>
      </c>
      <c r="D65">
        <v>1</v>
      </c>
      <c r="O65">
        <v>23</v>
      </c>
      <c r="Z65">
        <f t="shared" si="1"/>
        <v>23</v>
      </c>
    </row>
    <row r="66" spans="2:26" x14ac:dyDescent="0.2">
      <c r="B66">
        <v>38</v>
      </c>
      <c r="C66" t="s">
        <v>96</v>
      </c>
      <c r="D66">
        <v>2</v>
      </c>
      <c r="S66">
        <v>15</v>
      </c>
      <c r="T66">
        <v>5</v>
      </c>
      <c r="Z66">
        <f t="shared" si="1"/>
        <v>20</v>
      </c>
    </row>
    <row r="67" spans="2:26" x14ac:dyDescent="0.2">
      <c r="B67">
        <v>42</v>
      </c>
      <c r="C67" t="s">
        <v>86</v>
      </c>
      <c r="D67">
        <v>5</v>
      </c>
      <c r="W67">
        <v>6</v>
      </c>
      <c r="X67">
        <v>8</v>
      </c>
      <c r="Y67">
        <v>6</v>
      </c>
      <c r="Z67">
        <f t="shared" si="1"/>
        <v>20</v>
      </c>
    </row>
    <row r="68" spans="2:26" ht="34" x14ac:dyDescent="0.2">
      <c r="B68">
        <v>61</v>
      </c>
      <c r="C68" s="1" t="s">
        <v>203</v>
      </c>
      <c r="D68">
        <v>1</v>
      </c>
      <c r="I68">
        <v>19</v>
      </c>
      <c r="Z68">
        <f t="shared" si="1"/>
        <v>19</v>
      </c>
    </row>
    <row r="69" spans="2:26" x14ac:dyDescent="0.2">
      <c r="B69">
        <v>13</v>
      </c>
      <c r="C69" t="s">
        <v>38</v>
      </c>
      <c r="D69">
        <v>7</v>
      </c>
      <c r="E69">
        <v>3</v>
      </c>
      <c r="F69">
        <v>3</v>
      </c>
      <c r="G69">
        <v>4</v>
      </c>
      <c r="H69">
        <v>2</v>
      </c>
      <c r="I69">
        <v>2</v>
      </c>
      <c r="J69">
        <v>2</v>
      </c>
      <c r="K69">
        <v>2</v>
      </c>
      <c r="Z69">
        <f t="shared" si="1"/>
        <v>18</v>
      </c>
    </row>
    <row r="70" spans="2:26" x14ac:dyDescent="0.2">
      <c r="B70">
        <v>37</v>
      </c>
      <c r="C70" t="s">
        <v>69</v>
      </c>
      <c r="D70">
        <v>2</v>
      </c>
      <c r="K70">
        <v>9</v>
      </c>
      <c r="M70">
        <v>8</v>
      </c>
      <c r="Z70">
        <f t="shared" si="1"/>
        <v>17</v>
      </c>
    </row>
    <row r="71" spans="2:26" x14ac:dyDescent="0.2">
      <c r="B71">
        <v>20</v>
      </c>
      <c r="C71" t="s">
        <v>52</v>
      </c>
      <c r="D71">
        <v>5</v>
      </c>
      <c r="F71">
        <v>3</v>
      </c>
      <c r="H71">
        <v>5</v>
      </c>
      <c r="I71">
        <v>2</v>
      </c>
      <c r="M71">
        <v>3</v>
      </c>
      <c r="O71">
        <v>3</v>
      </c>
      <c r="Z71">
        <f t="shared" si="1"/>
        <v>16</v>
      </c>
    </row>
    <row r="72" spans="2:26" x14ac:dyDescent="0.2">
      <c r="B72">
        <v>53</v>
      </c>
      <c r="C72" t="s">
        <v>200</v>
      </c>
      <c r="D72">
        <v>1</v>
      </c>
      <c r="S72">
        <v>16</v>
      </c>
      <c r="Z72">
        <f t="shared" si="1"/>
        <v>16</v>
      </c>
    </row>
    <row r="73" spans="2:26" x14ac:dyDescent="0.2">
      <c r="C73" t="s">
        <v>252</v>
      </c>
      <c r="D73">
        <v>1</v>
      </c>
      <c r="W73" s="19"/>
      <c r="Y73">
        <v>16</v>
      </c>
      <c r="Z73">
        <f t="shared" si="1"/>
        <v>16</v>
      </c>
    </row>
    <row r="74" spans="2:26" x14ac:dyDescent="0.2">
      <c r="B74">
        <v>57</v>
      </c>
      <c r="C74" t="s">
        <v>108</v>
      </c>
      <c r="D74">
        <v>1</v>
      </c>
      <c r="U74">
        <v>14</v>
      </c>
      <c r="Z74">
        <f t="shared" ref="Z74:Z105" si="2">SUM(E74:Y74)</f>
        <v>14</v>
      </c>
    </row>
    <row r="75" spans="2:26" x14ac:dyDescent="0.2">
      <c r="B75">
        <v>54</v>
      </c>
      <c r="C75" t="s">
        <v>201</v>
      </c>
      <c r="D75">
        <v>1</v>
      </c>
      <c r="I75">
        <v>9</v>
      </c>
      <c r="Z75">
        <f t="shared" si="2"/>
        <v>9</v>
      </c>
    </row>
    <row r="76" spans="2:26" x14ac:dyDescent="0.2">
      <c r="B76">
        <v>43</v>
      </c>
      <c r="C76" t="s">
        <v>81</v>
      </c>
      <c r="D76">
        <v>3</v>
      </c>
      <c r="P76">
        <v>1</v>
      </c>
      <c r="W76">
        <v>8</v>
      </c>
      <c r="Z76">
        <f t="shared" si="2"/>
        <v>9</v>
      </c>
    </row>
    <row r="77" spans="2:26" x14ac:dyDescent="0.2">
      <c r="B77">
        <v>58</v>
      </c>
      <c r="C77" t="s">
        <v>46</v>
      </c>
      <c r="D77">
        <v>2</v>
      </c>
      <c r="E77">
        <v>3</v>
      </c>
      <c r="G77">
        <v>5</v>
      </c>
      <c r="Z77">
        <f t="shared" si="2"/>
        <v>8</v>
      </c>
    </row>
    <row r="78" spans="2:26" x14ac:dyDescent="0.2">
      <c r="B78">
        <v>68</v>
      </c>
      <c r="C78" t="s">
        <v>79</v>
      </c>
      <c r="D78">
        <v>1</v>
      </c>
      <c r="N78">
        <v>6</v>
      </c>
      <c r="Z78">
        <f t="shared" si="2"/>
        <v>6</v>
      </c>
    </row>
    <row r="79" spans="2:26" x14ac:dyDescent="0.2">
      <c r="B79">
        <v>63</v>
      </c>
      <c r="C79" s="17" t="s">
        <v>27</v>
      </c>
      <c r="D79" s="17">
        <v>1</v>
      </c>
      <c r="V79">
        <v>6</v>
      </c>
      <c r="Z79">
        <f t="shared" si="2"/>
        <v>6</v>
      </c>
    </row>
    <row r="80" spans="2:26" x14ac:dyDescent="0.2">
      <c r="B80">
        <v>46</v>
      </c>
      <c r="C80" t="s">
        <v>82</v>
      </c>
      <c r="D80">
        <v>1</v>
      </c>
      <c r="O80">
        <v>4</v>
      </c>
      <c r="Z80">
        <f t="shared" si="2"/>
        <v>4</v>
      </c>
    </row>
    <row r="81" spans="2:28" x14ac:dyDescent="0.2">
      <c r="B81">
        <v>56</v>
      </c>
      <c r="C81" t="s">
        <v>59</v>
      </c>
      <c r="D81">
        <v>1</v>
      </c>
      <c r="H81">
        <v>3</v>
      </c>
      <c r="Z81">
        <f t="shared" si="2"/>
        <v>3</v>
      </c>
    </row>
    <row r="82" spans="2:28" x14ac:dyDescent="0.2">
      <c r="B82">
        <v>47</v>
      </c>
      <c r="C82" t="s">
        <v>93</v>
      </c>
      <c r="D82">
        <v>1</v>
      </c>
      <c r="S82">
        <v>1</v>
      </c>
      <c r="Z82">
        <f t="shared" si="2"/>
        <v>1</v>
      </c>
    </row>
    <row r="83" spans="2:28" x14ac:dyDescent="0.2">
      <c r="B83">
        <v>51</v>
      </c>
      <c r="C83" s="27" t="s">
        <v>199</v>
      </c>
      <c r="D83" s="27">
        <v>1</v>
      </c>
      <c r="Z83">
        <f t="shared" si="2"/>
        <v>0</v>
      </c>
    </row>
    <row r="84" spans="2:28" x14ac:dyDescent="0.2">
      <c r="W84" s="19"/>
    </row>
    <row r="85" spans="2:28" ht="17" thickBot="1" x14ac:dyDescent="0.25"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9"/>
      <c r="X85" s="17"/>
      <c r="Y85" s="17"/>
      <c r="AA85" s="17"/>
      <c r="AB85" s="17"/>
    </row>
    <row r="86" spans="2:28" ht="17" thickTop="1" x14ac:dyDescent="0.2">
      <c r="B86" s="33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5"/>
      <c r="X86" s="34"/>
      <c r="Z86" s="34"/>
      <c r="AA86" s="34"/>
      <c r="AB86" s="34"/>
    </row>
  </sheetData>
  <pageMargins left="0.75" right="0.75" top="1" bottom="1" header="0.5" footer="0.5"/>
  <pageSetup orientation="portrait" horizontalDpi="4294967292" verticalDpi="4294967292"/>
  <drawing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1994 (11)</vt:lpstr>
      <vt:lpstr>govt budget temp</vt:lpstr>
      <vt:lpstr>1994</vt:lpstr>
      <vt:lpstr>1995</vt:lpstr>
      <vt:lpstr>1996</vt:lpstr>
      <vt:lpstr>1997</vt:lpstr>
      <vt:lpstr>1998</vt:lpstr>
      <vt:lpstr>1999</vt:lpstr>
      <vt:lpstr>2000</vt:lpstr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summation</vt:lpstr>
      <vt:lpstr>aid-budget relative score</vt:lpstr>
      <vt:lpstr>aid as % of govt chart</vt:lpstr>
      <vt:lpstr>aid-budget absolute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 kelson</dc:creator>
  <cp:lastModifiedBy>zaccai lewis</cp:lastModifiedBy>
  <dcterms:created xsi:type="dcterms:W3CDTF">2014-12-11T15:59:43Z</dcterms:created>
  <dcterms:modified xsi:type="dcterms:W3CDTF">2021-02-07T03:51:10Z</dcterms:modified>
</cp:coreProperties>
</file>